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uppo\Downloads\"/>
    </mc:Choice>
  </mc:AlternateContent>
  <xr:revisionPtr revIDLastSave="0" documentId="8_{FB7FFE07-8A92-4E01-9689-A1A7F0339883}" xr6:coauthVersionLast="47" xr6:coauthVersionMax="47" xr10:uidLastSave="{00000000-0000-0000-0000-000000000000}"/>
  <bookViews>
    <workbookView xWindow="28680" yWindow="-120" windowWidth="20730" windowHeight="11040" xr2:uid="{268EA667-E93E-4555-963A-4BDC5EA5498D}"/>
  </bookViews>
  <sheets>
    <sheet name="sdrascd7-IENOMKE13060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692" i="1" l="1"/>
  <c r="E1692" i="1"/>
  <c r="P1691" i="1"/>
  <c r="E1691" i="1"/>
  <c r="P1690" i="1"/>
  <c r="E1690" i="1"/>
  <c r="P1689" i="1"/>
  <c r="E1689" i="1"/>
  <c r="P1688" i="1"/>
  <c r="E1688" i="1"/>
  <c r="P1687" i="1"/>
  <c r="E1687" i="1"/>
  <c r="P1686" i="1"/>
  <c r="E1686" i="1"/>
  <c r="P1685" i="1"/>
  <c r="E1685" i="1"/>
  <c r="P1684" i="1"/>
  <c r="E1684" i="1"/>
  <c r="P1683" i="1"/>
  <c r="E1683" i="1"/>
  <c r="P1682" i="1"/>
  <c r="E1682" i="1"/>
  <c r="P1681" i="1"/>
  <c r="E1681" i="1"/>
  <c r="P1680" i="1"/>
  <c r="E1680" i="1"/>
  <c r="P1679" i="1"/>
  <c r="E1679" i="1"/>
  <c r="P1678" i="1"/>
  <c r="E1678" i="1"/>
  <c r="P1677" i="1"/>
  <c r="E1677" i="1"/>
  <c r="P1676" i="1"/>
  <c r="E1676" i="1"/>
  <c r="P1675" i="1"/>
  <c r="E1675" i="1"/>
  <c r="P1674" i="1"/>
  <c r="E1674" i="1"/>
  <c r="P1673" i="1"/>
  <c r="E1673" i="1"/>
  <c r="P1672" i="1"/>
  <c r="E1672" i="1"/>
  <c r="P1671" i="1"/>
  <c r="E1671" i="1"/>
  <c r="P1670" i="1"/>
  <c r="E1670" i="1"/>
  <c r="P1669" i="1"/>
  <c r="E1669" i="1"/>
  <c r="P1668" i="1"/>
  <c r="E1668" i="1"/>
  <c r="P1667" i="1"/>
  <c r="E1667" i="1"/>
  <c r="P1666" i="1"/>
  <c r="E1666" i="1"/>
  <c r="P1665" i="1"/>
  <c r="E1665" i="1"/>
  <c r="P1664" i="1"/>
  <c r="E1664" i="1"/>
  <c r="P1663" i="1"/>
  <c r="E1663" i="1"/>
  <c r="P1662" i="1"/>
  <c r="E1662" i="1"/>
  <c r="P1661" i="1"/>
  <c r="E1661" i="1"/>
  <c r="P1660" i="1"/>
  <c r="E1660" i="1"/>
  <c r="P1659" i="1"/>
  <c r="E1659" i="1"/>
  <c r="P1658" i="1"/>
  <c r="E1658" i="1"/>
  <c r="P1657" i="1"/>
  <c r="E1657" i="1"/>
  <c r="P1656" i="1"/>
  <c r="E1656" i="1"/>
  <c r="P1655" i="1"/>
  <c r="E1655" i="1"/>
  <c r="P1654" i="1"/>
  <c r="E1654" i="1"/>
  <c r="P1653" i="1"/>
  <c r="E1653" i="1"/>
  <c r="P1652" i="1"/>
  <c r="E1652" i="1"/>
  <c r="P1651" i="1"/>
  <c r="E1651" i="1"/>
  <c r="P1650" i="1"/>
  <c r="E1650" i="1"/>
  <c r="P1649" i="1"/>
  <c r="E1649" i="1"/>
  <c r="P1648" i="1"/>
  <c r="E1648" i="1"/>
  <c r="P1647" i="1"/>
  <c r="E1647" i="1"/>
  <c r="P1646" i="1"/>
  <c r="E1646" i="1"/>
  <c r="P1645" i="1"/>
  <c r="E1645" i="1"/>
  <c r="P1644" i="1"/>
  <c r="E1644" i="1"/>
  <c r="P1643" i="1"/>
  <c r="E1643" i="1"/>
  <c r="P1642" i="1"/>
  <c r="E1642" i="1"/>
  <c r="P1641" i="1"/>
  <c r="E1641" i="1"/>
  <c r="P1640" i="1"/>
  <c r="E1640" i="1"/>
  <c r="P1639" i="1"/>
  <c r="E1639" i="1"/>
  <c r="P1638" i="1"/>
  <c r="E1638" i="1"/>
  <c r="P1637" i="1"/>
  <c r="E1637" i="1"/>
  <c r="P1636" i="1"/>
  <c r="E1636" i="1"/>
  <c r="P1635" i="1"/>
  <c r="E1635" i="1"/>
  <c r="P1634" i="1"/>
  <c r="E1634" i="1"/>
  <c r="P1633" i="1"/>
  <c r="E1633" i="1"/>
  <c r="P1632" i="1"/>
  <c r="E1632" i="1"/>
  <c r="P1631" i="1"/>
  <c r="E1631" i="1"/>
  <c r="P1630" i="1"/>
  <c r="E1630" i="1"/>
  <c r="P1629" i="1"/>
  <c r="E1629" i="1"/>
  <c r="P1628" i="1"/>
  <c r="E1628" i="1"/>
  <c r="P1627" i="1"/>
  <c r="E1627" i="1"/>
  <c r="P1626" i="1"/>
  <c r="E1626" i="1"/>
  <c r="P1625" i="1"/>
  <c r="E1625" i="1"/>
  <c r="P1624" i="1"/>
  <c r="E1624" i="1"/>
  <c r="P1623" i="1"/>
  <c r="E1623" i="1"/>
  <c r="P1622" i="1"/>
  <c r="E1622" i="1"/>
  <c r="P1621" i="1"/>
  <c r="E1621" i="1"/>
  <c r="P1620" i="1"/>
  <c r="E1620" i="1"/>
  <c r="P1619" i="1"/>
  <c r="E1619" i="1"/>
  <c r="P1618" i="1"/>
  <c r="E1618" i="1"/>
  <c r="P1617" i="1"/>
  <c r="E1617" i="1"/>
  <c r="P1616" i="1"/>
  <c r="E1616" i="1"/>
  <c r="P1615" i="1"/>
  <c r="E1615" i="1"/>
  <c r="P1614" i="1"/>
  <c r="E1614" i="1"/>
  <c r="P1613" i="1"/>
  <c r="E1613" i="1"/>
  <c r="P1612" i="1"/>
  <c r="E1612" i="1"/>
  <c r="P1611" i="1"/>
  <c r="E1611" i="1"/>
  <c r="P1610" i="1"/>
  <c r="E1610" i="1"/>
  <c r="P1609" i="1"/>
  <c r="E1609" i="1"/>
  <c r="P1608" i="1"/>
  <c r="E1608" i="1"/>
  <c r="P1607" i="1"/>
  <c r="E1607" i="1"/>
  <c r="P1606" i="1"/>
  <c r="E1606" i="1"/>
  <c r="P1605" i="1"/>
  <c r="E1605" i="1"/>
  <c r="P1604" i="1"/>
  <c r="E1604" i="1"/>
  <c r="P1603" i="1"/>
  <c r="E1603" i="1"/>
  <c r="P1602" i="1"/>
  <c r="E1602" i="1"/>
  <c r="P1601" i="1"/>
  <c r="E1601" i="1"/>
  <c r="P1600" i="1"/>
  <c r="E1600" i="1"/>
  <c r="P1599" i="1"/>
  <c r="E1599" i="1"/>
  <c r="P1598" i="1"/>
  <c r="E1598" i="1"/>
  <c r="P1597" i="1"/>
  <c r="E1597" i="1"/>
  <c r="P1596" i="1"/>
  <c r="E1596" i="1"/>
  <c r="P1595" i="1"/>
  <c r="E1595" i="1"/>
  <c r="P1594" i="1"/>
  <c r="E1594" i="1"/>
  <c r="P1593" i="1"/>
  <c r="E1593" i="1"/>
  <c r="P1592" i="1"/>
  <c r="E1592" i="1"/>
  <c r="P1591" i="1"/>
  <c r="E1591" i="1"/>
  <c r="P1590" i="1"/>
  <c r="E1590" i="1"/>
  <c r="P1589" i="1"/>
  <c r="E1589" i="1"/>
  <c r="P1588" i="1"/>
  <c r="E1588" i="1"/>
  <c r="P1587" i="1"/>
  <c r="E1587" i="1"/>
  <c r="P1586" i="1"/>
  <c r="E1586" i="1"/>
  <c r="P1585" i="1"/>
  <c r="E1585" i="1"/>
  <c r="P1584" i="1"/>
  <c r="E1584" i="1"/>
  <c r="P1583" i="1"/>
  <c r="E1583" i="1"/>
  <c r="P1582" i="1"/>
  <c r="E1582" i="1"/>
  <c r="P1581" i="1"/>
  <c r="E1581" i="1"/>
  <c r="P1580" i="1"/>
  <c r="E1580" i="1"/>
  <c r="P1579" i="1"/>
  <c r="E1579" i="1"/>
  <c r="P1578" i="1"/>
  <c r="E1578" i="1"/>
  <c r="P1577" i="1"/>
  <c r="E1577" i="1"/>
  <c r="P1576" i="1"/>
  <c r="E1576" i="1"/>
  <c r="P1575" i="1"/>
  <c r="E1575" i="1"/>
  <c r="P1574" i="1"/>
  <c r="E1574" i="1"/>
  <c r="P1573" i="1"/>
  <c r="E1573" i="1"/>
  <c r="P1572" i="1"/>
  <c r="E1572" i="1"/>
  <c r="P1571" i="1"/>
  <c r="E1571" i="1"/>
  <c r="P1570" i="1"/>
  <c r="E1570" i="1"/>
  <c r="P1569" i="1"/>
  <c r="E1569" i="1"/>
  <c r="P1568" i="1"/>
  <c r="E1568" i="1"/>
  <c r="P1567" i="1"/>
  <c r="E1567" i="1"/>
  <c r="P1566" i="1"/>
  <c r="E1566" i="1"/>
  <c r="P1565" i="1"/>
  <c r="E1565" i="1"/>
  <c r="P1564" i="1"/>
  <c r="E1564" i="1"/>
  <c r="P1563" i="1"/>
  <c r="E1563" i="1"/>
  <c r="P1562" i="1"/>
  <c r="E1562" i="1"/>
  <c r="P1561" i="1"/>
  <c r="E1561" i="1"/>
  <c r="P1560" i="1"/>
  <c r="E1560" i="1"/>
  <c r="P1559" i="1"/>
  <c r="E1559" i="1"/>
  <c r="P1558" i="1"/>
  <c r="E1558" i="1"/>
  <c r="P1557" i="1"/>
  <c r="E1557" i="1"/>
  <c r="P1556" i="1"/>
  <c r="E1556" i="1"/>
  <c r="P1555" i="1"/>
  <c r="E1555" i="1"/>
  <c r="P1554" i="1"/>
  <c r="E1554" i="1"/>
  <c r="P1553" i="1"/>
  <c r="E1553" i="1"/>
  <c r="P1552" i="1"/>
  <c r="E1552" i="1"/>
  <c r="P1551" i="1"/>
  <c r="E1551" i="1"/>
  <c r="P1550" i="1"/>
  <c r="E1550" i="1"/>
  <c r="P1549" i="1"/>
  <c r="E1549" i="1"/>
  <c r="P1548" i="1"/>
  <c r="E1548" i="1"/>
  <c r="P1547" i="1"/>
  <c r="E1547" i="1"/>
  <c r="P1546" i="1"/>
  <c r="E1546" i="1"/>
  <c r="P1545" i="1"/>
  <c r="E1545" i="1"/>
  <c r="P1544" i="1"/>
  <c r="E1544" i="1"/>
  <c r="P1543" i="1"/>
  <c r="E1543" i="1"/>
  <c r="P1542" i="1"/>
  <c r="E1542" i="1"/>
  <c r="P1541" i="1"/>
  <c r="E1541" i="1"/>
  <c r="P1540" i="1"/>
  <c r="E1540" i="1"/>
  <c r="P1539" i="1"/>
  <c r="E1539" i="1"/>
  <c r="P1538" i="1"/>
  <c r="E1538" i="1"/>
  <c r="P1537" i="1"/>
  <c r="E1537" i="1"/>
  <c r="P1536" i="1"/>
  <c r="E1536" i="1"/>
  <c r="P1535" i="1"/>
  <c r="E1535" i="1"/>
  <c r="P1534" i="1"/>
  <c r="E1534" i="1"/>
  <c r="P1533" i="1"/>
  <c r="E1533" i="1"/>
  <c r="P1532" i="1"/>
  <c r="E1532" i="1"/>
  <c r="P1531" i="1"/>
  <c r="E1531" i="1"/>
  <c r="P1530" i="1"/>
  <c r="E1530" i="1"/>
  <c r="P1529" i="1"/>
  <c r="E1529" i="1"/>
  <c r="P1528" i="1"/>
  <c r="E1528" i="1"/>
  <c r="P1527" i="1"/>
  <c r="E1527" i="1"/>
  <c r="P1526" i="1"/>
  <c r="E1526" i="1"/>
  <c r="P1525" i="1"/>
  <c r="E1525" i="1"/>
  <c r="P1524" i="1"/>
  <c r="E1524" i="1"/>
  <c r="P1523" i="1"/>
  <c r="E1523" i="1"/>
  <c r="P1522" i="1"/>
  <c r="E1522" i="1"/>
  <c r="P1521" i="1"/>
  <c r="E1521" i="1"/>
  <c r="P1520" i="1"/>
  <c r="E1520" i="1"/>
  <c r="P1519" i="1"/>
  <c r="E1519" i="1"/>
  <c r="P1518" i="1"/>
  <c r="E1518" i="1"/>
  <c r="P1517" i="1"/>
  <c r="E1517" i="1"/>
  <c r="P1516" i="1"/>
  <c r="E1516" i="1"/>
  <c r="P1515" i="1"/>
  <c r="E1515" i="1"/>
  <c r="P1514" i="1"/>
  <c r="E1514" i="1"/>
  <c r="P1513" i="1"/>
  <c r="E1513" i="1"/>
  <c r="P1512" i="1"/>
  <c r="E1512" i="1"/>
  <c r="P1511" i="1"/>
  <c r="E1511" i="1"/>
  <c r="P1510" i="1"/>
  <c r="E1510" i="1"/>
  <c r="P1509" i="1"/>
  <c r="E1509" i="1"/>
  <c r="P1508" i="1"/>
  <c r="E1508" i="1"/>
  <c r="P1507" i="1"/>
  <c r="E1507" i="1"/>
  <c r="P1506" i="1"/>
  <c r="E1506" i="1"/>
  <c r="P1505" i="1"/>
  <c r="E1505" i="1"/>
  <c r="P1504" i="1"/>
  <c r="E1504" i="1"/>
  <c r="P1503" i="1"/>
  <c r="E1503" i="1"/>
  <c r="P1502" i="1"/>
  <c r="E1502" i="1"/>
  <c r="P1501" i="1"/>
  <c r="E1501" i="1"/>
  <c r="P1500" i="1"/>
  <c r="E1500" i="1"/>
  <c r="P1499" i="1"/>
  <c r="E1499" i="1"/>
  <c r="P1498" i="1"/>
  <c r="E1498" i="1"/>
  <c r="P1497" i="1"/>
  <c r="E1497" i="1"/>
  <c r="P1496" i="1"/>
  <c r="E1496" i="1"/>
  <c r="P1495" i="1"/>
  <c r="E1495" i="1"/>
  <c r="P1494" i="1"/>
  <c r="E1494" i="1"/>
  <c r="P1493" i="1"/>
  <c r="E1493" i="1"/>
  <c r="P1492" i="1"/>
  <c r="E1492" i="1"/>
  <c r="P1491" i="1"/>
  <c r="E1491" i="1"/>
  <c r="P1490" i="1"/>
  <c r="E1490" i="1"/>
  <c r="P1489" i="1"/>
  <c r="E1489" i="1"/>
  <c r="P1488" i="1"/>
  <c r="E1488" i="1"/>
  <c r="P1487" i="1"/>
  <c r="E1487" i="1"/>
  <c r="P1486" i="1"/>
  <c r="E1486" i="1"/>
  <c r="P1485" i="1"/>
  <c r="E1485" i="1"/>
  <c r="P1484" i="1"/>
  <c r="E1484" i="1"/>
  <c r="P1483" i="1"/>
  <c r="E1483" i="1"/>
  <c r="P1482" i="1"/>
  <c r="E1482" i="1"/>
  <c r="P1481" i="1"/>
  <c r="E1481" i="1"/>
  <c r="P1480" i="1"/>
  <c r="E1480" i="1"/>
  <c r="P1479" i="1"/>
  <c r="E1479" i="1"/>
  <c r="P1478" i="1"/>
  <c r="E1478" i="1"/>
  <c r="P1477" i="1"/>
  <c r="E1477" i="1"/>
  <c r="P1476" i="1"/>
  <c r="E1476" i="1"/>
  <c r="P1475" i="1"/>
  <c r="E1475" i="1"/>
  <c r="P1474" i="1"/>
  <c r="E1474" i="1"/>
  <c r="P1473" i="1"/>
  <c r="E1473" i="1"/>
  <c r="P1472" i="1"/>
  <c r="E1472" i="1"/>
  <c r="P1471" i="1"/>
  <c r="E1471" i="1"/>
  <c r="P1470" i="1"/>
  <c r="E1470" i="1"/>
  <c r="P1469" i="1"/>
  <c r="E1469" i="1"/>
  <c r="P1468" i="1"/>
  <c r="E1468" i="1"/>
  <c r="P1467" i="1"/>
  <c r="E1467" i="1"/>
  <c r="P1466" i="1"/>
  <c r="E1466" i="1"/>
  <c r="P1465" i="1"/>
  <c r="E1465" i="1"/>
  <c r="P1464" i="1"/>
  <c r="E1464" i="1"/>
  <c r="P1463" i="1"/>
  <c r="E1463" i="1"/>
  <c r="P1462" i="1"/>
  <c r="E1462" i="1"/>
  <c r="P1461" i="1"/>
  <c r="E1461" i="1"/>
  <c r="P1460" i="1"/>
  <c r="E1460" i="1"/>
  <c r="P1459" i="1"/>
  <c r="E1459" i="1"/>
  <c r="P1458" i="1"/>
  <c r="E1458" i="1"/>
  <c r="P1457" i="1"/>
  <c r="E1457" i="1"/>
  <c r="P1456" i="1"/>
  <c r="E1456" i="1"/>
  <c r="P1455" i="1"/>
  <c r="E1455" i="1"/>
  <c r="P1454" i="1"/>
  <c r="E1454" i="1"/>
  <c r="P1453" i="1"/>
  <c r="E1453" i="1"/>
  <c r="P1452" i="1"/>
  <c r="E1452" i="1"/>
  <c r="P1451" i="1"/>
  <c r="E1451" i="1"/>
  <c r="P1450" i="1"/>
  <c r="E1450" i="1"/>
  <c r="P1449" i="1"/>
  <c r="E1449" i="1"/>
  <c r="P1448" i="1"/>
  <c r="E1448" i="1"/>
  <c r="P1447" i="1"/>
  <c r="E1447" i="1"/>
  <c r="P1446" i="1"/>
  <c r="E1446" i="1"/>
  <c r="P1445" i="1"/>
  <c r="E1445" i="1"/>
  <c r="P1444" i="1"/>
  <c r="E1444" i="1"/>
  <c r="P1443" i="1"/>
  <c r="E1443" i="1"/>
  <c r="P1442" i="1"/>
  <c r="E1442" i="1"/>
  <c r="P1441" i="1"/>
  <c r="E1441" i="1"/>
  <c r="P1440" i="1"/>
  <c r="E1440" i="1"/>
  <c r="P1439" i="1"/>
  <c r="E1439" i="1"/>
  <c r="P1438" i="1"/>
  <c r="E1438" i="1"/>
  <c r="P1437" i="1"/>
  <c r="E1437" i="1"/>
  <c r="P1436" i="1"/>
  <c r="E1436" i="1"/>
  <c r="P1435" i="1"/>
  <c r="E1435" i="1"/>
  <c r="P1434" i="1"/>
  <c r="E1434" i="1"/>
  <c r="P1433" i="1"/>
  <c r="E1433" i="1"/>
  <c r="P1432" i="1"/>
  <c r="E1432" i="1"/>
  <c r="P1431" i="1"/>
  <c r="E1431" i="1"/>
  <c r="P1430" i="1"/>
  <c r="E1430" i="1"/>
  <c r="P1429" i="1"/>
  <c r="E1429" i="1"/>
  <c r="P1428" i="1"/>
  <c r="E1428" i="1"/>
  <c r="P1427" i="1"/>
  <c r="E1427" i="1"/>
  <c r="P1426" i="1"/>
  <c r="E1426" i="1"/>
  <c r="P1425" i="1"/>
  <c r="E1425" i="1"/>
  <c r="P1424" i="1"/>
  <c r="E1424" i="1"/>
  <c r="P1423" i="1"/>
  <c r="E1423" i="1"/>
  <c r="P1422" i="1"/>
  <c r="E1422" i="1"/>
  <c r="P1421" i="1"/>
  <c r="E1421" i="1"/>
  <c r="P1420" i="1"/>
  <c r="E1420" i="1"/>
  <c r="P1419" i="1"/>
  <c r="E1419" i="1"/>
  <c r="P1418" i="1"/>
  <c r="E1418" i="1"/>
  <c r="P1417" i="1"/>
  <c r="E1417" i="1"/>
  <c r="P1416" i="1"/>
  <c r="E1416" i="1"/>
  <c r="P1415" i="1"/>
  <c r="E1415" i="1"/>
  <c r="P1414" i="1"/>
  <c r="E1414" i="1"/>
  <c r="P1413" i="1"/>
  <c r="E1413" i="1"/>
  <c r="P1412" i="1"/>
  <c r="E1412" i="1"/>
  <c r="P1411" i="1"/>
  <c r="E1411" i="1"/>
  <c r="P1410" i="1"/>
  <c r="E1410" i="1"/>
  <c r="P1409" i="1"/>
  <c r="E1409" i="1"/>
  <c r="P1408" i="1"/>
  <c r="E1408" i="1"/>
  <c r="P1407" i="1"/>
  <c r="E1407" i="1"/>
  <c r="P1406" i="1"/>
  <c r="E1406" i="1"/>
  <c r="P1405" i="1"/>
  <c r="E1405" i="1"/>
  <c r="P1404" i="1"/>
  <c r="E1404" i="1"/>
  <c r="P1403" i="1"/>
  <c r="E1403" i="1"/>
  <c r="P1402" i="1"/>
  <c r="E1402" i="1"/>
  <c r="P1401" i="1"/>
  <c r="E1401" i="1"/>
  <c r="P1400" i="1"/>
  <c r="E1400" i="1"/>
  <c r="P1399" i="1"/>
  <c r="E1399" i="1"/>
  <c r="P1398" i="1"/>
  <c r="E1398" i="1"/>
  <c r="P1397" i="1"/>
  <c r="E1397" i="1"/>
  <c r="P1396" i="1"/>
  <c r="E1396" i="1"/>
  <c r="P1395" i="1"/>
  <c r="E1395" i="1"/>
  <c r="P1394" i="1"/>
  <c r="E1394" i="1"/>
  <c r="P1393" i="1"/>
  <c r="E1393" i="1"/>
  <c r="P1392" i="1"/>
  <c r="E1392" i="1"/>
  <c r="P1391" i="1"/>
  <c r="E1391" i="1"/>
  <c r="P1390" i="1"/>
  <c r="E1390" i="1"/>
  <c r="P1389" i="1"/>
  <c r="E1389" i="1"/>
  <c r="P1388" i="1"/>
  <c r="E1388" i="1"/>
  <c r="P1387" i="1"/>
  <c r="E1387" i="1"/>
  <c r="P1386" i="1"/>
  <c r="E1386" i="1"/>
  <c r="P1385" i="1"/>
  <c r="E1385" i="1"/>
  <c r="P1384" i="1"/>
  <c r="E1384" i="1"/>
  <c r="P1383" i="1"/>
  <c r="E1383" i="1"/>
  <c r="P1382" i="1"/>
  <c r="E1382" i="1"/>
  <c r="P1381" i="1"/>
  <c r="E1381" i="1"/>
  <c r="P1380" i="1"/>
  <c r="E1380" i="1"/>
  <c r="P1379" i="1"/>
  <c r="E1379" i="1"/>
  <c r="P1378" i="1"/>
  <c r="E1378" i="1"/>
  <c r="P1377" i="1"/>
  <c r="E1377" i="1"/>
  <c r="P1376" i="1"/>
  <c r="E1376" i="1"/>
  <c r="P1375" i="1"/>
  <c r="E1375" i="1"/>
  <c r="P1374" i="1"/>
  <c r="E1374" i="1"/>
  <c r="P1373" i="1"/>
  <c r="E1373" i="1"/>
  <c r="P1372" i="1"/>
  <c r="E1372" i="1"/>
  <c r="P1371" i="1"/>
  <c r="E1371" i="1"/>
  <c r="P1370" i="1"/>
  <c r="E1370" i="1"/>
  <c r="P1369" i="1"/>
  <c r="E1369" i="1"/>
  <c r="P1368" i="1"/>
  <c r="E1368" i="1"/>
  <c r="P1367" i="1"/>
  <c r="E1367" i="1"/>
  <c r="P1366" i="1"/>
  <c r="E1366" i="1"/>
  <c r="P1365" i="1"/>
  <c r="E1365" i="1"/>
  <c r="P1364" i="1"/>
  <c r="E1364" i="1"/>
  <c r="P1363" i="1"/>
  <c r="E1363" i="1"/>
  <c r="P1362" i="1"/>
  <c r="E1362" i="1"/>
  <c r="P1361" i="1"/>
  <c r="E1361" i="1"/>
  <c r="P1360" i="1"/>
  <c r="E1360" i="1"/>
  <c r="P1359" i="1"/>
  <c r="E1359" i="1"/>
  <c r="P1358" i="1"/>
  <c r="E1358" i="1"/>
  <c r="P1357" i="1"/>
  <c r="E1357" i="1"/>
  <c r="P1356" i="1"/>
  <c r="E1356" i="1"/>
  <c r="P1355" i="1"/>
  <c r="E1355" i="1"/>
  <c r="P1354" i="1"/>
  <c r="E1354" i="1"/>
  <c r="P1353" i="1"/>
  <c r="E1353" i="1"/>
  <c r="P1352" i="1"/>
  <c r="E1352" i="1"/>
  <c r="P1351" i="1"/>
  <c r="E1351" i="1"/>
  <c r="P1350" i="1"/>
  <c r="E1350" i="1"/>
  <c r="P1349" i="1"/>
  <c r="E1349" i="1"/>
  <c r="P1348" i="1"/>
  <c r="E1348" i="1"/>
  <c r="P1347" i="1"/>
  <c r="E1347" i="1"/>
  <c r="P1346" i="1"/>
  <c r="E1346" i="1"/>
  <c r="P1345" i="1"/>
  <c r="E1345" i="1"/>
  <c r="P1344" i="1"/>
  <c r="E1344" i="1"/>
  <c r="P1343" i="1"/>
  <c r="E1343" i="1"/>
  <c r="P1342" i="1"/>
  <c r="E1342" i="1"/>
  <c r="P1341" i="1"/>
  <c r="E1341" i="1"/>
  <c r="P1340" i="1"/>
  <c r="E1340" i="1"/>
  <c r="P1339" i="1"/>
  <c r="E1339" i="1"/>
  <c r="P1338" i="1"/>
  <c r="E1338" i="1"/>
  <c r="P1337" i="1"/>
  <c r="E1337" i="1"/>
  <c r="P1336" i="1"/>
  <c r="E1336" i="1"/>
  <c r="P1335" i="1"/>
  <c r="E1335" i="1"/>
  <c r="P1334" i="1"/>
  <c r="E1334" i="1"/>
  <c r="P1333" i="1"/>
  <c r="E1333" i="1"/>
  <c r="P1332" i="1"/>
  <c r="E1332" i="1"/>
  <c r="P1331" i="1"/>
  <c r="E1331" i="1"/>
  <c r="P1330" i="1"/>
  <c r="E1330" i="1"/>
  <c r="P1329" i="1"/>
  <c r="E1329" i="1"/>
  <c r="P1328" i="1"/>
  <c r="E1328" i="1"/>
  <c r="P1327" i="1"/>
  <c r="E1327" i="1"/>
  <c r="P1326" i="1"/>
  <c r="E1326" i="1"/>
  <c r="P1325" i="1"/>
  <c r="E1325" i="1"/>
  <c r="P1324" i="1"/>
  <c r="E1324" i="1"/>
  <c r="P1323" i="1"/>
  <c r="E1323" i="1"/>
  <c r="P1322" i="1"/>
  <c r="E1322" i="1"/>
  <c r="P1321" i="1"/>
  <c r="E1321" i="1"/>
  <c r="P1320" i="1"/>
  <c r="E1320" i="1"/>
  <c r="P1319" i="1"/>
  <c r="E1319" i="1"/>
  <c r="P1318" i="1"/>
  <c r="E1318" i="1"/>
  <c r="P1317" i="1"/>
  <c r="E1317" i="1"/>
  <c r="P1316" i="1"/>
  <c r="E1316" i="1"/>
  <c r="P1315" i="1"/>
  <c r="E1315" i="1"/>
  <c r="P1314" i="1"/>
  <c r="E1314" i="1"/>
  <c r="P1313" i="1"/>
  <c r="E1313" i="1"/>
  <c r="P1312" i="1"/>
  <c r="E1312" i="1"/>
  <c r="P1311" i="1"/>
  <c r="E1311" i="1"/>
  <c r="P1310" i="1"/>
  <c r="E1310" i="1"/>
  <c r="P1309" i="1"/>
  <c r="E1309" i="1"/>
  <c r="P1308" i="1"/>
  <c r="E1308" i="1"/>
  <c r="P1307" i="1"/>
  <c r="E1307" i="1"/>
  <c r="P1306" i="1"/>
  <c r="E1306" i="1"/>
  <c r="P1305" i="1"/>
  <c r="E1305" i="1"/>
  <c r="P1304" i="1"/>
  <c r="E1304" i="1"/>
  <c r="P1303" i="1"/>
  <c r="E1303" i="1"/>
  <c r="P1302" i="1"/>
  <c r="E1302" i="1"/>
  <c r="P1301" i="1"/>
  <c r="E1301" i="1"/>
  <c r="P1300" i="1"/>
  <c r="E1300" i="1"/>
  <c r="P1299" i="1"/>
  <c r="E1299" i="1"/>
  <c r="P1298" i="1"/>
  <c r="E1298" i="1"/>
  <c r="P1297" i="1"/>
  <c r="E1297" i="1"/>
  <c r="P1296" i="1"/>
  <c r="E1296" i="1"/>
  <c r="P1295" i="1"/>
  <c r="E1295" i="1"/>
  <c r="P1294" i="1"/>
  <c r="E1294" i="1"/>
  <c r="P1293" i="1"/>
  <c r="E1293" i="1"/>
  <c r="P1292" i="1"/>
  <c r="E1292" i="1"/>
  <c r="P1291" i="1"/>
  <c r="E1291" i="1"/>
  <c r="P1290" i="1"/>
  <c r="E1290" i="1"/>
  <c r="P1289" i="1"/>
  <c r="E1289" i="1"/>
  <c r="P1288" i="1"/>
  <c r="E1288" i="1"/>
  <c r="P1287" i="1"/>
  <c r="E1287" i="1"/>
  <c r="P1286" i="1"/>
  <c r="E1286" i="1"/>
  <c r="P1285" i="1"/>
  <c r="E1285" i="1"/>
  <c r="P1284" i="1"/>
  <c r="E1284" i="1"/>
  <c r="P1283" i="1"/>
  <c r="E1283" i="1"/>
  <c r="P1282" i="1"/>
  <c r="E1282" i="1"/>
  <c r="P1281" i="1"/>
  <c r="E1281" i="1"/>
  <c r="P1280" i="1"/>
  <c r="E1280" i="1"/>
  <c r="P1279" i="1"/>
  <c r="E1279" i="1"/>
  <c r="P1278" i="1"/>
  <c r="E1278" i="1"/>
  <c r="P1277" i="1"/>
  <c r="E1277" i="1"/>
  <c r="P1276" i="1"/>
  <c r="E1276" i="1"/>
  <c r="P1275" i="1"/>
  <c r="E1275" i="1"/>
  <c r="P1274" i="1"/>
  <c r="E1274" i="1"/>
  <c r="P1273" i="1"/>
  <c r="E1273" i="1"/>
  <c r="P1272" i="1"/>
  <c r="E1272" i="1"/>
  <c r="P1271" i="1"/>
  <c r="E1271" i="1"/>
  <c r="P1270" i="1"/>
  <c r="E1270" i="1"/>
  <c r="P1269" i="1"/>
  <c r="E1269" i="1"/>
  <c r="P1268" i="1"/>
  <c r="E1268" i="1"/>
  <c r="P1267" i="1"/>
  <c r="E1267" i="1"/>
  <c r="P1266" i="1"/>
  <c r="E1266" i="1"/>
  <c r="P1265" i="1"/>
  <c r="E1265" i="1"/>
  <c r="P1264" i="1"/>
  <c r="E1264" i="1"/>
  <c r="P1263" i="1"/>
  <c r="E1263" i="1"/>
  <c r="P1262" i="1"/>
  <c r="E1262" i="1"/>
  <c r="P1261" i="1"/>
  <c r="E1261" i="1"/>
  <c r="P1260" i="1"/>
  <c r="E1260" i="1"/>
  <c r="P1259" i="1"/>
  <c r="E1259" i="1"/>
  <c r="P1258" i="1"/>
  <c r="E1258" i="1"/>
  <c r="P1257" i="1"/>
  <c r="E1257" i="1"/>
  <c r="P1256" i="1"/>
  <c r="E1256" i="1"/>
  <c r="P1255" i="1"/>
  <c r="E1255" i="1"/>
  <c r="P1254" i="1"/>
  <c r="E1254" i="1"/>
  <c r="P1253" i="1"/>
  <c r="E1253" i="1"/>
  <c r="P1252" i="1"/>
  <c r="E1252" i="1"/>
  <c r="P1251" i="1"/>
  <c r="E1251" i="1"/>
  <c r="P1250" i="1"/>
  <c r="E1250" i="1"/>
  <c r="P1249" i="1"/>
  <c r="E1249" i="1"/>
  <c r="P1248" i="1"/>
  <c r="E1248" i="1"/>
  <c r="P1247" i="1"/>
  <c r="E1247" i="1"/>
  <c r="P1246" i="1"/>
  <c r="E1246" i="1"/>
  <c r="P1245" i="1"/>
  <c r="E1245" i="1"/>
  <c r="P1244" i="1"/>
  <c r="E1244" i="1"/>
  <c r="P1243" i="1"/>
  <c r="E1243" i="1"/>
  <c r="P1242" i="1"/>
  <c r="E1242" i="1"/>
  <c r="P1241" i="1"/>
  <c r="E1241" i="1"/>
  <c r="P1240" i="1"/>
  <c r="E1240" i="1"/>
  <c r="P1239" i="1"/>
  <c r="E1239" i="1"/>
  <c r="P1238" i="1"/>
  <c r="E1238" i="1"/>
  <c r="P1237" i="1"/>
  <c r="E1237" i="1"/>
  <c r="P1236" i="1"/>
  <c r="E1236" i="1"/>
  <c r="P1235" i="1"/>
  <c r="E1235" i="1"/>
  <c r="P1234" i="1"/>
  <c r="E1234" i="1"/>
  <c r="P1233" i="1"/>
  <c r="E1233" i="1"/>
  <c r="P1232" i="1"/>
  <c r="E1232" i="1"/>
  <c r="P1231" i="1"/>
  <c r="E1231" i="1"/>
  <c r="P1230" i="1"/>
  <c r="E1230" i="1"/>
  <c r="P1229" i="1"/>
  <c r="E1229" i="1"/>
  <c r="P1228" i="1"/>
  <c r="E1228" i="1"/>
  <c r="P1227" i="1"/>
  <c r="E1227" i="1"/>
  <c r="P1226" i="1"/>
  <c r="E1226" i="1"/>
  <c r="P1225" i="1"/>
  <c r="E1225" i="1"/>
  <c r="P1224" i="1"/>
  <c r="E1224" i="1"/>
  <c r="P1223" i="1"/>
  <c r="E1223" i="1"/>
  <c r="P1222" i="1"/>
  <c r="E1222" i="1"/>
  <c r="P1221" i="1"/>
  <c r="E1221" i="1"/>
  <c r="P1220" i="1"/>
  <c r="E1220" i="1"/>
  <c r="P1219" i="1"/>
  <c r="E1219" i="1"/>
  <c r="P1218" i="1"/>
  <c r="E1218" i="1"/>
  <c r="P1217" i="1"/>
  <c r="E1217" i="1"/>
  <c r="P1216" i="1"/>
  <c r="E1216" i="1"/>
  <c r="P1215" i="1"/>
  <c r="E1215" i="1"/>
  <c r="P1214" i="1"/>
  <c r="E1214" i="1"/>
  <c r="P1213" i="1"/>
  <c r="E1213" i="1"/>
  <c r="P1212" i="1"/>
  <c r="E1212" i="1"/>
  <c r="P1211" i="1"/>
  <c r="E1211" i="1"/>
  <c r="P1210" i="1"/>
  <c r="E1210" i="1"/>
  <c r="P1209" i="1"/>
  <c r="E1209" i="1"/>
  <c r="P1208" i="1"/>
  <c r="E1208" i="1"/>
  <c r="P1207" i="1"/>
  <c r="E1207" i="1"/>
  <c r="P1206" i="1"/>
  <c r="E1206" i="1"/>
  <c r="P1205" i="1"/>
  <c r="E1205" i="1"/>
  <c r="P1204" i="1"/>
  <c r="E1204" i="1"/>
  <c r="P1203" i="1"/>
  <c r="E1203" i="1"/>
  <c r="P1202" i="1"/>
  <c r="E1202" i="1"/>
  <c r="P1201" i="1"/>
  <c r="E1201" i="1"/>
  <c r="P1200" i="1"/>
  <c r="E1200" i="1"/>
  <c r="P1199" i="1"/>
  <c r="E1199" i="1"/>
  <c r="P1198" i="1"/>
  <c r="E1198" i="1"/>
  <c r="P1197" i="1"/>
  <c r="E1197" i="1"/>
  <c r="P1196" i="1"/>
  <c r="E1196" i="1"/>
  <c r="P1195" i="1"/>
  <c r="E1195" i="1"/>
  <c r="P1194" i="1"/>
  <c r="E1194" i="1"/>
  <c r="P1193" i="1"/>
  <c r="E1193" i="1"/>
  <c r="P1192" i="1"/>
  <c r="E1192" i="1"/>
  <c r="P1191" i="1"/>
  <c r="E1191" i="1"/>
  <c r="P1190" i="1"/>
  <c r="E1190" i="1"/>
  <c r="P1189" i="1"/>
  <c r="E1189" i="1"/>
  <c r="P1188" i="1"/>
  <c r="E1188" i="1"/>
  <c r="P1187" i="1"/>
  <c r="E1187" i="1"/>
  <c r="P1186" i="1"/>
  <c r="E1186" i="1"/>
  <c r="P1185" i="1"/>
  <c r="E1185" i="1"/>
  <c r="P1184" i="1"/>
  <c r="E1184" i="1"/>
  <c r="P1183" i="1"/>
  <c r="E1183" i="1"/>
  <c r="P1182" i="1"/>
  <c r="E1182" i="1"/>
  <c r="P1181" i="1"/>
  <c r="E1181" i="1"/>
  <c r="P1180" i="1"/>
  <c r="E1180" i="1"/>
  <c r="P1179" i="1"/>
  <c r="E1179" i="1"/>
  <c r="P1178" i="1"/>
  <c r="E1178" i="1"/>
  <c r="P1177" i="1"/>
  <c r="E1177" i="1"/>
  <c r="P1176" i="1"/>
  <c r="E1176" i="1"/>
  <c r="P1175" i="1"/>
  <c r="E1175" i="1"/>
  <c r="P1174" i="1"/>
  <c r="E1174" i="1"/>
  <c r="P1173" i="1"/>
  <c r="E1173" i="1"/>
  <c r="P1172" i="1"/>
  <c r="E1172" i="1"/>
  <c r="P1171" i="1"/>
  <c r="E1171" i="1"/>
  <c r="P1170" i="1"/>
  <c r="E1170" i="1"/>
  <c r="P1169" i="1"/>
  <c r="E1169" i="1"/>
  <c r="P1168" i="1"/>
  <c r="E1168" i="1"/>
  <c r="P1167" i="1"/>
  <c r="E1167" i="1"/>
  <c r="P1166" i="1"/>
  <c r="E1166" i="1"/>
  <c r="P1165" i="1"/>
  <c r="E1165" i="1"/>
  <c r="P1164" i="1"/>
  <c r="E1164" i="1"/>
  <c r="P1163" i="1"/>
  <c r="E1163" i="1"/>
  <c r="P1162" i="1"/>
  <c r="E1162" i="1"/>
  <c r="P1161" i="1"/>
  <c r="E1161" i="1"/>
  <c r="P1160" i="1"/>
  <c r="E1160" i="1"/>
  <c r="P1159" i="1"/>
  <c r="E1159" i="1"/>
  <c r="P1158" i="1"/>
  <c r="E1158" i="1"/>
  <c r="P1157" i="1"/>
  <c r="E1157" i="1"/>
  <c r="P1156" i="1"/>
  <c r="E1156" i="1"/>
  <c r="P1155" i="1"/>
  <c r="E1155" i="1"/>
  <c r="P1154" i="1"/>
  <c r="E1154" i="1"/>
  <c r="P1153" i="1"/>
  <c r="E1153" i="1"/>
  <c r="P1152" i="1"/>
  <c r="E1152" i="1"/>
  <c r="P1151" i="1"/>
  <c r="E1151" i="1"/>
  <c r="P1150" i="1"/>
  <c r="E1150" i="1"/>
  <c r="P1149" i="1"/>
  <c r="E1149" i="1"/>
  <c r="P1148" i="1"/>
  <c r="E1148" i="1"/>
  <c r="P1147" i="1"/>
  <c r="E1147" i="1"/>
  <c r="P1146" i="1"/>
  <c r="E1146" i="1"/>
  <c r="P1145" i="1"/>
  <c r="E1145" i="1"/>
  <c r="P1144" i="1"/>
  <c r="E1144" i="1"/>
  <c r="P1143" i="1"/>
  <c r="E1143" i="1"/>
  <c r="P1142" i="1"/>
  <c r="E1142" i="1"/>
  <c r="P1141" i="1"/>
  <c r="E1141" i="1"/>
  <c r="P1140" i="1"/>
  <c r="E1140" i="1"/>
  <c r="P1139" i="1"/>
  <c r="E1139" i="1"/>
  <c r="P1138" i="1"/>
  <c r="E1138" i="1"/>
  <c r="P1137" i="1"/>
  <c r="E1137" i="1"/>
  <c r="P1136" i="1"/>
  <c r="E1136" i="1"/>
  <c r="P1135" i="1"/>
  <c r="E1135" i="1"/>
  <c r="P1134" i="1"/>
  <c r="E1134" i="1"/>
  <c r="P1133" i="1"/>
  <c r="E1133" i="1"/>
  <c r="P1132" i="1"/>
  <c r="E1132" i="1"/>
  <c r="P1131" i="1"/>
  <c r="E1131" i="1"/>
  <c r="P1130" i="1"/>
  <c r="E1130" i="1"/>
  <c r="P1129" i="1"/>
  <c r="E1129" i="1"/>
  <c r="P1128" i="1"/>
  <c r="E1128" i="1"/>
  <c r="P1127" i="1"/>
  <c r="E1127" i="1"/>
  <c r="P1126" i="1"/>
  <c r="E1126" i="1"/>
  <c r="P1125" i="1"/>
  <c r="E1125" i="1"/>
  <c r="P1124" i="1"/>
  <c r="E1124" i="1"/>
  <c r="P1123" i="1"/>
  <c r="E1123" i="1"/>
  <c r="P1122" i="1"/>
  <c r="E1122" i="1"/>
  <c r="P1121" i="1"/>
  <c r="E1121" i="1"/>
  <c r="P1120" i="1"/>
  <c r="E1120" i="1"/>
  <c r="P1119" i="1"/>
  <c r="E1119" i="1"/>
  <c r="P1118" i="1"/>
  <c r="E1118" i="1"/>
  <c r="P1117" i="1"/>
  <c r="E1117" i="1"/>
  <c r="P1116" i="1"/>
  <c r="E1116" i="1"/>
  <c r="P1115" i="1"/>
  <c r="E1115" i="1"/>
  <c r="P1114" i="1"/>
  <c r="E1114" i="1"/>
  <c r="P1113" i="1"/>
  <c r="E1113" i="1"/>
  <c r="P1112" i="1"/>
  <c r="E1112" i="1"/>
  <c r="P1111" i="1"/>
  <c r="E1111" i="1"/>
  <c r="P1110" i="1"/>
  <c r="E1110" i="1"/>
  <c r="P1109" i="1"/>
  <c r="E1109" i="1"/>
  <c r="P1108" i="1"/>
  <c r="E1108" i="1"/>
  <c r="P1107" i="1"/>
  <c r="E1107" i="1"/>
  <c r="P1106" i="1"/>
  <c r="E1106" i="1"/>
  <c r="P1105" i="1"/>
  <c r="E1105" i="1"/>
  <c r="P1104" i="1"/>
  <c r="E1104" i="1"/>
  <c r="P1103" i="1"/>
  <c r="E1103" i="1"/>
  <c r="P1102" i="1"/>
  <c r="E1102" i="1"/>
  <c r="P1101" i="1"/>
  <c r="E1101" i="1"/>
  <c r="P1100" i="1"/>
  <c r="E1100" i="1"/>
  <c r="P1099" i="1"/>
  <c r="E1099" i="1"/>
  <c r="P1098" i="1"/>
  <c r="E1098" i="1"/>
  <c r="P1097" i="1"/>
  <c r="E1097" i="1"/>
  <c r="P1096" i="1"/>
  <c r="E1096" i="1"/>
  <c r="P1095" i="1"/>
  <c r="E1095" i="1"/>
  <c r="P1094" i="1"/>
  <c r="E1094" i="1"/>
  <c r="P1093" i="1"/>
  <c r="E1093" i="1"/>
  <c r="P1092" i="1"/>
  <c r="E1092" i="1"/>
  <c r="P1091" i="1"/>
  <c r="E1091" i="1"/>
  <c r="P1090" i="1"/>
  <c r="E1090" i="1"/>
  <c r="P1089" i="1"/>
  <c r="E1089" i="1"/>
  <c r="P1088" i="1"/>
  <c r="E1088" i="1"/>
  <c r="P1087" i="1"/>
  <c r="E1087" i="1"/>
  <c r="P1086" i="1"/>
  <c r="E1086" i="1"/>
  <c r="P1085" i="1"/>
  <c r="E1085" i="1"/>
  <c r="P1084" i="1"/>
  <c r="E1084" i="1"/>
  <c r="P1083" i="1"/>
  <c r="E1083" i="1"/>
  <c r="P1082" i="1"/>
  <c r="E1082" i="1"/>
  <c r="P1081" i="1"/>
  <c r="E1081" i="1"/>
  <c r="P1080" i="1"/>
  <c r="E1080" i="1"/>
  <c r="P1079" i="1"/>
  <c r="E1079" i="1"/>
  <c r="P1078" i="1"/>
  <c r="E1078" i="1"/>
  <c r="P1077" i="1"/>
  <c r="E1077" i="1"/>
  <c r="P1076" i="1"/>
  <c r="E1076" i="1"/>
  <c r="P1075" i="1"/>
  <c r="E1075" i="1"/>
  <c r="P1074" i="1"/>
  <c r="E1074" i="1"/>
  <c r="P1073" i="1"/>
  <c r="E1073" i="1"/>
  <c r="P1072" i="1"/>
  <c r="E1072" i="1"/>
  <c r="P1071" i="1"/>
  <c r="E1071" i="1"/>
  <c r="P1070" i="1"/>
  <c r="E1070" i="1"/>
  <c r="P1069" i="1"/>
  <c r="E1069" i="1"/>
  <c r="P1068" i="1"/>
  <c r="E1068" i="1"/>
  <c r="P1067" i="1"/>
  <c r="E1067" i="1"/>
  <c r="P1066" i="1"/>
  <c r="E1066" i="1"/>
  <c r="P1065" i="1"/>
  <c r="E1065" i="1"/>
  <c r="P1064" i="1"/>
  <c r="E1064" i="1"/>
  <c r="P1063" i="1"/>
  <c r="E1063" i="1"/>
  <c r="P1062" i="1"/>
  <c r="E1062" i="1"/>
  <c r="P1061" i="1"/>
  <c r="E1061" i="1"/>
  <c r="P1060" i="1"/>
  <c r="E1060" i="1"/>
  <c r="P1059" i="1"/>
  <c r="E1059" i="1"/>
  <c r="P1058" i="1"/>
  <c r="E1058" i="1"/>
  <c r="P1057" i="1"/>
  <c r="E1057" i="1"/>
  <c r="P1056" i="1"/>
  <c r="E1056" i="1"/>
  <c r="P1055" i="1"/>
  <c r="E1055" i="1"/>
  <c r="P1054" i="1"/>
  <c r="E1054" i="1"/>
  <c r="P1053" i="1"/>
  <c r="E1053" i="1"/>
  <c r="P1052" i="1"/>
  <c r="E1052" i="1"/>
  <c r="P1051" i="1"/>
  <c r="E1051" i="1"/>
  <c r="P1050" i="1"/>
  <c r="E1050" i="1"/>
  <c r="P1049" i="1"/>
  <c r="E1049" i="1"/>
  <c r="P1048" i="1"/>
  <c r="E1048" i="1"/>
  <c r="P1047" i="1"/>
  <c r="E1047" i="1"/>
  <c r="P1046" i="1"/>
  <c r="E1046" i="1"/>
  <c r="P1045" i="1"/>
  <c r="E1045" i="1"/>
  <c r="P1044" i="1"/>
  <c r="E1044" i="1"/>
  <c r="P1043" i="1"/>
  <c r="E1043" i="1"/>
  <c r="P1042" i="1"/>
  <c r="E1042" i="1"/>
  <c r="P1041" i="1"/>
  <c r="E1041" i="1"/>
  <c r="P1040" i="1"/>
  <c r="E1040" i="1"/>
  <c r="P1039" i="1"/>
  <c r="E1039" i="1"/>
  <c r="P1038" i="1"/>
  <c r="E1038" i="1"/>
  <c r="P1037" i="1"/>
  <c r="E1037" i="1"/>
  <c r="P1036" i="1"/>
  <c r="E1036" i="1"/>
  <c r="P1035" i="1"/>
  <c r="E1035" i="1"/>
  <c r="P1034" i="1"/>
  <c r="E1034" i="1"/>
  <c r="P1033" i="1"/>
  <c r="E1033" i="1"/>
  <c r="P1032" i="1"/>
  <c r="E1032" i="1"/>
  <c r="P1031" i="1"/>
  <c r="E1031" i="1"/>
  <c r="P1030" i="1"/>
  <c r="E1030" i="1"/>
  <c r="P1029" i="1"/>
  <c r="E1029" i="1"/>
  <c r="P1028" i="1"/>
  <c r="E1028" i="1"/>
  <c r="P1027" i="1"/>
  <c r="E1027" i="1"/>
  <c r="P1026" i="1"/>
  <c r="E1026" i="1"/>
  <c r="P1025" i="1"/>
  <c r="E1025" i="1"/>
  <c r="P1024" i="1"/>
  <c r="E1024" i="1"/>
  <c r="P1023" i="1"/>
  <c r="E1023" i="1"/>
  <c r="P1022" i="1"/>
  <c r="E1022" i="1"/>
  <c r="P1021" i="1"/>
  <c r="E1021" i="1"/>
  <c r="P1020" i="1"/>
  <c r="E1020" i="1"/>
  <c r="P1019" i="1"/>
  <c r="E1019" i="1"/>
  <c r="P1018" i="1"/>
  <c r="E1018" i="1"/>
  <c r="P1017" i="1"/>
  <c r="E1017" i="1"/>
  <c r="P1016" i="1"/>
  <c r="E1016" i="1"/>
  <c r="P1015" i="1"/>
  <c r="E1015" i="1"/>
  <c r="P1014" i="1"/>
  <c r="E1014" i="1"/>
  <c r="P1013" i="1"/>
  <c r="E1013" i="1"/>
  <c r="P1012" i="1"/>
  <c r="E1012" i="1"/>
  <c r="P1011" i="1"/>
  <c r="E1011" i="1"/>
  <c r="P1010" i="1"/>
  <c r="E1010" i="1"/>
  <c r="P1009" i="1"/>
  <c r="E1009" i="1"/>
  <c r="P1008" i="1"/>
  <c r="E1008" i="1"/>
  <c r="P1007" i="1"/>
  <c r="E1007" i="1"/>
  <c r="P1006" i="1"/>
  <c r="E1006" i="1"/>
  <c r="P1005" i="1"/>
  <c r="E1005" i="1"/>
  <c r="P1004" i="1"/>
  <c r="E1004" i="1"/>
  <c r="P1003" i="1"/>
  <c r="E1003" i="1"/>
  <c r="P1002" i="1"/>
  <c r="E1002" i="1"/>
  <c r="P1001" i="1"/>
  <c r="E1001" i="1"/>
  <c r="P1000" i="1"/>
  <c r="E1000" i="1"/>
  <c r="P999" i="1"/>
  <c r="E999" i="1"/>
  <c r="P998" i="1"/>
  <c r="E998" i="1"/>
  <c r="P997" i="1"/>
  <c r="E997" i="1"/>
  <c r="P996" i="1"/>
  <c r="E996" i="1"/>
  <c r="P995" i="1"/>
  <c r="E995" i="1"/>
  <c r="P994" i="1"/>
  <c r="E994" i="1"/>
  <c r="P993" i="1"/>
  <c r="E993" i="1"/>
  <c r="P992" i="1"/>
  <c r="E992" i="1"/>
  <c r="P991" i="1"/>
  <c r="E991" i="1"/>
  <c r="P990" i="1"/>
  <c r="E990" i="1"/>
  <c r="P989" i="1"/>
  <c r="E989" i="1"/>
  <c r="P988" i="1"/>
  <c r="E988" i="1"/>
  <c r="P987" i="1"/>
  <c r="E987" i="1"/>
  <c r="P986" i="1"/>
  <c r="E986" i="1"/>
  <c r="P985" i="1"/>
  <c r="E985" i="1"/>
  <c r="P984" i="1"/>
  <c r="E984" i="1"/>
  <c r="P983" i="1"/>
  <c r="E983" i="1"/>
  <c r="P982" i="1"/>
  <c r="E982" i="1"/>
  <c r="P981" i="1"/>
  <c r="E981" i="1"/>
  <c r="P980" i="1"/>
  <c r="E980" i="1"/>
  <c r="P979" i="1"/>
  <c r="E979" i="1"/>
  <c r="P978" i="1"/>
  <c r="E978" i="1"/>
  <c r="P977" i="1"/>
  <c r="E977" i="1"/>
  <c r="P976" i="1"/>
  <c r="E976" i="1"/>
  <c r="P975" i="1"/>
  <c r="E975" i="1"/>
  <c r="P974" i="1"/>
  <c r="E974" i="1"/>
  <c r="P973" i="1"/>
  <c r="E973" i="1"/>
  <c r="P972" i="1"/>
  <c r="E972" i="1"/>
  <c r="P971" i="1"/>
  <c r="E971" i="1"/>
  <c r="P970" i="1"/>
  <c r="E970" i="1"/>
  <c r="P969" i="1"/>
  <c r="E969" i="1"/>
  <c r="P968" i="1"/>
  <c r="E968" i="1"/>
  <c r="P967" i="1"/>
  <c r="E967" i="1"/>
  <c r="P966" i="1"/>
  <c r="E966" i="1"/>
  <c r="P965" i="1"/>
  <c r="E965" i="1"/>
  <c r="P964" i="1"/>
  <c r="E964" i="1"/>
  <c r="P963" i="1"/>
  <c r="E963" i="1"/>
  <c r="P962" i="1"/>
  <c r="E962" i="1"/>
  <c r="P961" i="1"/>
  <c r="E961" i="1"/>
  <c r="P960" i="1"/>
  <c r="E960" i="1"/>
  <c r="P959" i="1"/>
  <c r="E959" i="1"/>
  <c r="P958" i="1"/>
  <c r="E958" i="1"/>
  <c r="P957" i="1"/>
  <c r="E957" i="1"/>
  <c r="P956" i="1"/>
  <c r="E956" i="1"/>
  <c r="P955" i="1"/>
  <c r="E955" i="1"/>
  <c r="P954" i="1"/>
  <c r="E954" i="1"/>
  <c r="P953" i="1"/>
  <c r="E953" i="1"/>
  <c r="P952" i="1"/>
  <c r="E952" i="1"/>
  <c r="P951" i="1"/>
  <c r="E951" i="1"/>
  <c r="P950" i="1"/>
  <c r="E950" i="1"/>
  <c r="P949" i="1"/>
  <c r="E949" i="1"/>
  <c r="P948" i="1"/>
  <c r="E948" i="1"/>
  <c r="P947" i="1"/>
  <c r="E947" i="1"/>
  <c r="P946" i="1"/>
  <c r="E946" i="1"/>
  <c r="P945" i="1"/>
  <c r="E945" i="1"/>
  <c r="P944" i="1"/>
  <c r="E944" i="1"/>
  <c r="P943" i="1"/>
  <c r="E943" i="1"/>
  <c r="P942" i="1"/>
  <c r="E942" i="1"/>
  <c r="P941" i="1"/>
  <c r="E941" i="1"/>
  <c r="P940" i="1"/>
  <c r="E940" i="1"/>
  <c r="P939" i="1"/>
  <c r="E939" i="1"/>
  <c r="P938" i="1"/>
  <c r="E938" i="1"/>
  <c r="P937" i="1"/>
  <c r="E937" i="1"/>
  <c r="P936" i="1"/>
  <c r="E936" i="1"/>
  <c r="P935" i="1"/>
  <c r="E935" i="1"/>
  <c r="P934" i="1"/>
  <c r="E934" i="1"/>
  <c r="P933" i="1"/>
  <c r="E933" i="1"/>
  <c r="P932" i="1"/>
  <c r="E932" i="1"/>
  <c r="P931" i="1"/>
  <c r="E931" i="1"/>
  <c r="P930" i="1"/>
  <c r="E930" i="1"/>
  <c r="P929" i="1"/>
  <c r="E929" i="1"/>
  <c r="P928" i="1"/>
  <c r="E928" i="1"/>
  <c r="P927" i="1"/>
  <c r="E927" i="1"/>
  <c r="P926" i="1"/>
  <c r="E926" i="1"/>
  <c r="P925" i="1"/>
  <c r="E925" i="1"/>
  <c r="P924" i="1"/>
  <c r="E924" i="1"/>
  <c r="P923" i="1"/>
  <c r="E923" i="1"/>
  <c r="P922" i="1"/>
  <c r="E922" i="1"/>
  <c r="P921" i="1"/>
  <c r="E921" i="1"/>
  <c r="P920" i="1"/>
  <c r="E920" i="1"/>
  <c r="P919" i="1"/>
  <c r="E919" i="1"/>
  <c r="P918" i="1"/>
  <c r="E918" i="1"/>
  <c r="P917" i="1"/>
  <c r="E917" i="1"/>
  <c r="P916" i="1"/>
  <c r="E916" i="1"/>
  <c r="P915" i="1"/>
  <c r="E915" i="1"/>
  <c r="P914" i="1"/>
  <c r="E914" i="1"/>
  <c r="P913" i="1"/>
  <c r="E913" i="1"/>
  <c r="P912" i="1"/>
  <c r="E912" i="1"/>
  <c r="P911" i="1"/>
  <c r="E911" i="1"/>
  <c r="P910" i="1"/>
  <c r="E910" i="1"/>
  <c r="P909" i="1"/>
  <c r="E909" i="1"/>
  <c r="P908" i="1"/>
  <c r="E908" i="1"/>
  <c r="P907" i="1"/>
  <c r="E907" i="1"/>
  <c r="P906" i="1"/>
  <c r="E906" i="1"/>
  <c r="P905" i="1"/>
  <c r="E905" i="1"/>
  <c r="P904" i="1"/>
  <c r="E904" i="1"/>
  <c r="P903" i="1"/>
  <c r="E903" i="1"/>
  <c r="P902" i="1"/>
  <c r="E902" i="1"/>
  <c r="P901" i="1"/>
  <c r="E901" i="1"/>
  <c r="P900" i="1"/>
  <c r="E900" i="1"/>
  <c r="P899" i="1"/>
  <c r="E899" i="1"/>
  <c r="P898" i="1"/>
  <c r="E898" i="1"/>
  <c r="P897" i="1"/>
  <c r="E897" i="1"/>
  <c r="P896" i="1"/>
  <c r="E896" i="1"/>
  <c r="P895" i="1"/>
  <c r="E895" i="1"/>
  <c r="P894" i="1"/>
  <c r="E894" i="1"/>
  <c r="P893" i="1"/>
  <c r="E893" i="1"/>
  <c r="P892" i="1"/>
  <c r="E892" i="1"/>
  <c r="P891" i="1"/>
  <c r="E891" i="1"/>
  <c r="P890" i="1"/>
  <c r="E890" i="1"/>
  <c r="P889" i="1"/>
  <c r="E889" i="1"/>
  <c r="P888" i="1"/>
  <c r="E888" i="1"/>
  <c r="P887" i="1"/>
  <c r="E887" i="1"/>
  <c r="P886" i="1"/>
  <c r="E886" i="1"/>
  <c r="P885" i="1"/>
  <c r="E885" i="1"/>
  <c r="P884" i="1"/>
  <c r="E884" i="1"/>
  <c r="P883" i="1"/>
  <c r="E883" i="1"/>
  <c r="P882" i="1"/>
  <c r="E882" i="1"/>
  <c r="P881" i="1"/>
  <c r="E881" i="1"/>
  <c r="P880" i="1"/>
  <c r="E880" i="1"/>
  <c r="P879" i="1"/>
  <c r="E879" i="1"/>
  <c r="P878" i="1"/>
  <c r="E878" i="1"/>
  <c r="P877" i="1"/>
  <c r="E877" i="1"/>
  <c r="P876" i="1"/>
  <c r="E876" i="1"/>
  <c r="P875" i="1"/>
  <c r="E875" i="1"/>
  <c r="P874" i="1"/>
  <c r="E874" i="1"/>
  <c r="P873" i="1"/>
  <c r="E873" i="1"/>
  <c r="P872" i="1"/>
  <c r="E872" i="1"/>
  <c r="P871" i="1"/>
  <c r="E871" i="1"/>
  <c r="P870" i="1"/>
  <c r="E870" i="1"/>
  <c r="P869" i="1"/>
  <c r="E869" i="1"/>
  <c r="P868" i="1"/>
  <c r="E868" i="1"/>
  <c r="P867" i="1"/>
  <c r="E867" i="1"/>
  <c r="P866" i="1"/>
  <c r="E866" i="1"/>
  <c r="P865" i="1"/>
  <c r="E865" i="1"/>
  <c r="P864" i="1"/>
  <c r="E864" i="1"/>
  <c r="P863" i="1"/>
  <c r="E863" i="1"/>
  <c r="P862" i="1"/>
  <c r="E862" i="1"/>
  <c r="P861" i="1"/>
  <c r="E861" i="1"/>
  <c r="P860" i="1"/>
  <c r="E860" i="1"/>
  <c r="P859" i="1"/>
  <c r="E859" i="1"/>
  <c r="P858" i="1"/>
  <c r="E858" i="1"/>
  <c r="P857" i="1"/>
  <c r="E857" i="1"/>
  <c r="P856" i="1"/>
  <c r="E856" i="1"/>
  <c r="P855" i="1"/>
  <c r="E855" i="1"/>
  <c r="P854" i="1"/>
  <c r="E854" i="1"/>
  <c r="P853" i="1"/>
  <c r="E853" i="1"/>
  <c r="P852" i="1"/>
  <c r="E852" i="1"/>
  <c r="P851" i="1"/>
  <c r="E851" i="1"/>
  <c r="P850" i="1"/>
  <c r="E850" i="1"/>
  <c r="P849" i="1"/>
  <c r="E849" i="1"/>
  <c r="P848" i="1"/>
  <c r="E848" i="1"/>
  <c r="P847" i="1"/>
  <c r="E847" i="1"/>
  <c r="P846" i="1"/>
  <c r="E846" i="1"/>
  <c r="P845" i="1"/>
  <c r="E845" i="1"/>
  <c r="P844" i="1"/>
  <c r="E844" i="1"/>
  <c r="P843" i="1"/>
  <c r="E843" i="1"/>
  <c r="P842" i="1"/>
  <c r="E842" i="1"/>
  <c r="P841" i="1"/>
  <c r="E841" i="1"/>
  <c r="P840" i="1"/>
  <c r="E840" i="1"/>
  <c r="P839" i="1"/>
  <c r="E839" i="1"/>
  <c r="P838" i="1"/>
  <c r="E838" i="1"/>
  <c r="P837" i="1"/>
  <c r="E837" i="1"/>
  <c r="P836" i="1"/>
  <c r="E836" i="1"/>
  <c r="P835" i="1"/>
  <c r="E835" i="1"/>
  <c r="P834" i="1"/>
  <c r="E834" i="1"/>
  <c r="P833" i="1"/>
  <c r="E833" i="1"/>
  <c r="P832" i="1"/>
  <c r="E832" i="1"/>
  <c r="P831" i="1"/>
  <c r="E831" i="1"/>
  <c r="P830" i="1"/>
  <c r="E830" i="1"/>
  <c r="P829" i="1"/>
  <c r="E829" i="1"/>
  <c r="P828" i="1"/>
  <c r="E828" i="1"/>
  <c r="P827" i="1"/>
  <c r="E827" i="1"/>
  <c r="P826" i="1"/>
  <c r="E826" i="1"/>
  <c r="P825" i="1"/>
  <c r="E825" i="1"/>
  <c r="P824" i="1"/>
  <c r="E824" i="1"/>
  <c r="P823" i="1"/>
  <c r="E823" i="1"/>
  <c r="P822" i="1"/>
  <c r="E822" i="1"/>
  <c r="P821" i="1"/>
  <c r="E821" i="1"/>
  <c r="P820" i="1"/>
  <c r="E820" i="1"/>
  <c r="P819" i="1"/>
  <c r="E819" i="1"/>
  <c r="P818" i="1"/>
  <c r="E818" i="1"/>
  <c r="P817" i="1"/>
  <c r="E817" i="1"/>
  <c r="P816" i="1"/>
  <c r="E816" i="1"/>
  <c r="P815" i="1"/>
  <c r="E815" i="1"/>
  <c r="P814" i="1"/>
  <c r="E814" i="1"/>
  <c r="P813" i="1"/>
  <c r="E813" i="1"/>
  <c r="P812" i="1"/>
  <c r="E812" i="1"/>
  <c r="P811" i="1"/>
  <c r="E811" i="1"/>
  <c r="P810" i="1"/>
  <c r="E810" i="1"/>
  <c r="P809" i="1"/>
  <c r="E809" i="1"/>
  <c r="P808" i="1"/>
  <c r="E808" i="1"/>
  <c r="P807" i="1"/>
  <c r="E807" i="1"/>
  <c r="P806" i="1"/>
  <c r="E806" i="1"/>
  <c r="P805" i="1"/>
  <c r="E805" i="1"/>
  <c r="P804" i="1"/>
  <c r="E804" i="1"/>
  <c r="P803" i="1"/>
  <c r="E803" i="1"/>
  <c r="P802" i="1"/>
  <c r="E802" i="1"/>
  <c r="P801" i="1"/>
  <c r="E801" i="1"/>
  <c r="P800" i="1"/>
  <c r="E800" i="1"/>
  <c r="P799" i="1"/>
  <c r="E799" i="1"/>
  <c r="P798" i="1"/>
  <c r="E798" i="1"/>
  <c r="P797" i="1"/>
  <c r="E797" i="1"/>
  <c r="P796" i="1"/>
  <c r="E796" i="1"/>
  <c r="P795" i="1"/>
  <c r="E795" i="1"/>
  <c r="P794" i="1"/>
  <c r="E794" i="1"/>
  <c r="P793" i="1"/>
  <c r="E793" i="1"/>
  <c r="P792" i="1"/>
  <c r="E792" i="1"/>
  <c r="P791" i="1"/>
  <c r="E791" i="1"/>
  <c r="P790" i="1"/>
  <c r="E790" i="1"/>
  <c r="P789" i="1"/>
  <c r="E789" i="1"/>
  <c r="P788" i="1"/>
  <c r="E788" i="1"/>
  <c r="P787" i="1"/>
  <c r="E787" i="1"/>
  <c r="P786" i="1"/>
  <c r="E786" i="1"/>
  <c r="P785" i="1"/>
  <c r="E785" i="1"/>
  <c r="P784" i="1"/>
  <c r="E784" i="1"/>
  <c r="P783" i="1"/>
  <c r="E783" i="1"/>
  <c r="P782" i="1"/>
  <c r="E782" i="1"/>
  <c r="P781" i="1"/>
  <c r="E781" i="1"/>
  <c r="P780" i="1"/>
  <c r="E780" i="1"/>
  <c r="P779" i="1"/>
  <c r="E779" i="1"/>
  <c r="P778" i="1"/>
  <c r="E778" i="1"/>
  <c r="P777" i="1"/>
  <c r="E777" i="1"/>
  <c r="P776" i="1"/>
  <c r="E776" i="1"/>
  <c r="P775" i="1"/>
  <c r="E775" i="1"/>
  <c r="P774" i="1"/>
  <c r="E774" i="1"/>
  <c r="P773" i="1"/>
  <c r="E773" i="1"/>
  <c r="P772" i="1"/>
  <c r="E772" i="1"/>
  <c r="P771" i="1"/>
  <c r="E771" i="1"/>
  <c r="P770" i="1"/>
  <c r="E770" i="1"/>
  <c r="P769" i="1"/>
  <c r="E769" i="1"/>
  <c r="P768" i="1"/>
  <c r="E768" i="1"/>
  <c r="P767" i="1"/>
  <c r="E767" i="1"/>
  <c r="P766" i="1"/>
  <c r="E766" i="1"/>
  <c r="P765" i="1"/>
  <c r="E765" i="1"/>
  <c r="P764" i="1"/>
  <c r="E764" i="1"/>
  <c r="P763" i="1"/>
  <c r="E763" i="1"/>
  <c r="P762" i="1"/>
  <c r="E762" i="1"/>
  <c r="P761" i="1"/>
  <c r="E761" i="1"/>
  <c r="P760" i="1"/>
  <c r="E760" i="1"/>
  <c r="P759" i="1"/>
  <c r="E759" i="1"/>
  <c r="P758" i="1"/>
  <c r="E758" i="1"/>
  <c r="P757" i="1"/>
  <c r="E757" i="1"/>
  <c r="P756" i="1"/>
  <c r="E756" i="1"/>
  <c r="P755" i="1"/>
  <c r="E755" i="1"/>
  <c r="P754" i="1"/>
  <c r="E754" i="1"/>
  <c r="P753" i="1"/>
  <c r="E753" i="1"/>
  <c r="P752" i="1"/>
  <c r="E752" i="1"/>
  <c r="P751" i="1"/>
  <c r="E751" i="1"/>
  <c r="P750" i="1"/>
  <c r="E750" i="1"/>
  <c r="P749" i="1"/>
  <c r="E749" i="1"/>
  <c r="P748" i="1"/>
  <c r="E748" i="1"/>
  <c r="P747" i="1"/>
  <c r="E747" i="1"/>
  <c r="P746" i="1"/>
  <c r="E746" i="1"/>
  <c r="P745" i="1"/>
  <c r="E745" i="1"/>
  <c r="P744" i="1"/>
  <c r="E744" i="1"/>
  <c r="P743" i="1"/>
  <c r="E743" i="1"/>
  <c r="P742" i="1"/>
  <c r="E742" i="1"/>
  <c r="P741" i="1"/>
  <c r="E741" i="1"/>
  <c r="P740" i="1"/>
  <c r="E740" i="1"/>
  <c r="P739" i="1"/>
  <c r="E739" i="1"/>
  <c r="P738" i="1"/>
  <c r="E738" i="1"/>
  <c r="P737" i="1"/>
  <c r="E737" i="1"/>
  <c r="P736" i="1"/>
  <c r="E736" i="1"/>
  <c r="P735" i="1"/>
  <c r="E735" i="1"/>
  <c r="P734" i="1"/>
  <c r="E734" i="1"/>
  <c r="P733" i="1"/>
  <c r="E733" i="1"/>
  <c r="P732" i="1"/>
  <c r="E732" i="1"/>
  <c r="P731" i="1"/>
  <c r="E731" i="1"/>
  <c r="P730" i="1"/>
  <c r="E730" i="1"/>
  <c r="P729" i="1"/>
  <c r="E729" i="1"/>
  <c r="P728" i="1"/>
  <c r="E728" i="1"/>
  <c r="P727" i="1"/>
  <c r="E727" i="1"/>
  <c r="P726" i="1"/>
  <c r="E726" i="1"/>
  <c r="P725" i="1"/>
  <c r="E725" i="1"/>
  <c r="P724" i="1"/>
  <c r="E724" i="1"/>
  <c r="P723" i="1"/>
  <c r="E723" i="1"/>
  <c r="P722" i="1"/>
  <c r="E722" i="1"/>
  <c r="P721" i="1"/>
  <c r="E721" i="1"/>
  <c r="P720" i="1"/>
  <c r="E720" i="1"/>
  <c r="P719" i="1"/>
  <c r="E719" i="1"/>
  <c r="P718" i="1"/>
  <c r="E718" i="1"/>
  <c r="P717" i="1"/>
  <c r="E717" i="1"/>
  <c r="P716" i="1"/>
  <c r="E716" i="1"/>
  <c r="P715" i="1"/>
  <c r="E715" i="1"/>
  <c r="P714" i="1"/>
  <c r="E714" i="1"/>
  <c r="P713" i="1"/>
  <c r="E713" i="1"/>
  <c r="P712" i="1"/>
  <c r="E712" i="1"/>
  <c r="P711" i="1"/>
  <c r="E711" i="1"/>
  <c r="P710" i="1"/>
  <c r="E710" i="1"/>
  <c r="P709" i="1"/>
  <c r="E709" i="1"/>
  <c r="P708" i="1"/>
  <c r="E708" i="1"/>
  <c r="P707" i="1"/>
  <c r="E707" i="1"/>
  <c r="P706" i="1"/>
  <c r="E706" i="1"/>
  <c r="P705" i="1"/>
  <c r="E705" i="1"/>
  <c r="P704" i="1"/>
  <c r="E704" i="1"/>
  <c r="P703" i="1"/>
  <c r="E703" i="1"/>
  <c r="P702" i="1"/>
  <c r="E702" i="1"/>
  <c r="P701" i="1"/>
  <c r="E701" i="1"/>
  <c r="P700" i="1"/>
  <c r="E700" i="1"/>
  <c r="P699" i="1"/>
  <c r="E699" i="1"/>
  <c r="P698" i="1"/>
  <c r="E698" i="1"/>
  <c r="P697" i="1"/>
  <c r="E697" i="1"/>
  <c r="P696" i="1"/>
  <c r="E696" i="1"/>
  <c r="P695" i="1"/>
  <c r="E695" i="1"/>
  <c r="P694" i="1"/>
  <c r="E694" i="1"/>
  <c r="P693" i="1"/>
  <c r="E693" i="1"/>
  <c r="P692" i="1"/>
  <c r="E692" i="1"/>
  <c r="P691" i="1"/>
  <c r="E691" i="1"/>
  <c r="P690" i="1"/>
  <c r="E690" i="1"/>
  <c r="P689" i="1"/>
  <c r="E689" i="1"/>
  <c r="P688" i="1"/>
  <c r="E688" i="1"/>
  <c r="P687" i="1"/>
  <c r="E687" i="1"/>
  <c r="P686" i="1"/>
  <c r="E686" i="1"/>
  <c r="P685" i="1"/>
  <c r="E685" i="1"/>
  <c r="P684" i="1"/>
  <c r="E684" i="1"/>
  <c r="P683" i="1"/>
  <c r="E683" i="1"/>
  <c r="P682" i="1"/>
  <c r="E682" i="1"/>
  <c r="P681" i="1"/>
  <c r="E681" i="1"/>
  <c r="P680" i="1"/>
  <c r="E680" i="1"/>
  <c r="P679" i="1"/>
  <c r="E679" i="1"/>
  <c r="P678" i="1"/>
  <c r="E678" i="1"/>
  <c r="P677" i="1"/>
  <c r="E677" i="1"/>
  <c r="P676" i="1"/>
  <c r="E676" i="1"/>
  <c r="P675" i="1"/>
  <c r="E675" i="1"/>
  <c r="P674" i="1"/>
  <c r="E674" i="1"/>
  <c r="P673" i="1"/>
  <c r="E673" i="1"/>
  <c r="P672" i="1"/>
  <c r="E672" i="1"/>
  <c r="P671" i="1"/>
  <c r="E671" i="1"/>
  <c r="P670" i="1"/>
  <c r="E670" i="1"/>
  <c r="P669" i="1"/>
  <c r="E669" i="1"/>
  <c r="P668" i="1"/>
  <c r="E668" i="1"/>
  <c r="P667" i="1"/>
  <c r="E667" i="1"/>
  <c r="P666" i="1"/>
  <c r="E666" i="1"/>
  <c r="P665" i="1"/>
  <c r="E665" i="1"/>
  <c r="P664" i="1"/>
  <c r="E664" i="1"/>
  <c r="P663" i="1"/>
  <c r="E663" i="1"/>
  <c r="P662" i="1"/>
  <c r="E662" i="1"/>
  <c r="P661" i="1"/>
  <c r="E661" i="1"/>
  <c r="P660" i="1"/>
  <c r="E660" i="1"/>
  <c r="P659" i="1"/>
  <c r="E659" i="1"/>
  <c r="P658" i="1"/>
  <c r="E658" i="1"/>
  <c r="P657" i="1"/>
  <c r="E657" i="1"/>
  <c r="P656" i="1"/>
  <c r="E656" i="1"/>
  <c r="P655" i="1"/>
  <c r="E655" i="1"/>
  <c r="P654" i="1"/>
  <c r="E654" i="1"/>
  <c r="P653" i="1"/>
  <c r="E653" i="1"/>
  <c r="P652" i="1"/>
  <c r="E652" i="1"/>
  <c r="P651" i="1"/>
  <c r="E651" i="1"/>
  <c r="P650" i="1"/>
  <c r="E650" i="1"/>
  <c r="P649" i="1"/>
  <c r="E649" i="1"/>
  <c r="P648" i="1"/>
  <c r="E648" i="1"/>
  <c r="P647" i="1"/>
  <c r="E647" i="1"/>
  <c r="P646" i="1"/>
  <c r="E646" i="1"/>
  <c r="P645" i="1"/>
  <c r="E645" i="1"/>
  <c r="P644" i="1"/>
  <c r="E644" i="1"/>
  <c r="P643" i="1"/>
  <c r="E643" i="1"/>
  <c r="P642" i="1"/>
  <c r="E642" i="1"/>
  <c r="P641" i="1"/>
  <c r="E641" i="1"/>
  <c r="P640" i="1"/>
  <c r="E640" i="1"/>
  <c r="P639" i="1"/>
  <c r="E639" i="1"/>
  <c r="P638" i="1"/>
  <c r="E638" i="1"/>
  <c r="P637" i="1"/>
  <c r="E637" i="1"/>
  <c r="P636" i="1"/>
  <c r="E636" i="1"/>
  <c r="P635" i="1"/>
  <c r="E635" i="1"/>
  <c r="P634" i="1"/>
  <c r="E634" i="1"/>
  <c r="P633" i="1"/>
  <c r="E633" i="1"/>
  <c r="P632" i="1"/>
  <c r="E632" i="1"/>
  <c r="P631" i="1"/>
  <c r="E631" i="1"/>
  <c r="P630" i="1"/>
  <c r="E630" i="1"/>
  <c r="P629" i="1"/>
  <c r="E629" i="1"/>
  <c r="P628" i="1"/>
  <c r="E628" i="1"/>
  <c r="P627" i="1"/>
  <c r="E627" i="1"/>
  <c r="P626" i="1"/>
  <c r="E626" i="1"/>
  <c r="P625" i="1"/>
  <c r="E625" i="1"/>
  <c r="P624" i="1"/>
  <c r="E624" i="1"/>
  <c r="P623" i="1"/>
  <c r="E623" i="1"/>
  <c r="P622" i="1"/>
  <c r="E622" i="1"/>
  <c r="P621" i="1"/>
  <c r="E621" i="1"/>
  <c r="P620" i="1"/>
  <c r="E620" i="1"/>
  <c r="P619" i="1"/>
  <c r="E619" i="1"/>
  <c r="P618" i="1"/>
  <c r="E618" i="1"/>
  <c r="P617" i="1"/>
  <c r="E617" i="1"/>
  <c r="P616" i="1"/>
  <c r="E616" i="1"/>
  <c r="P615" i="1"/>
  <c r="E615" i="1"/>
  <c r="P614" i="1"/>
  <c r="E614" i="1"/>
  <c r="P613" i="1"/>
  <c r="E613" i="1"/>
  <c r="P612" i="1"/>
  <c r="E612" i="1"/>
  <c r="P611" i="1"/>
  <c r="E611" i="1"/>
  <c r="P610" i="1"/>
  <c r="E610" i="1"/>
  <c r="P609" i="1"/>
  <c r="E609" i="1"/>
  <c r="P608" i="1"/>
  <c r="E608" i="1"/>
  <c r="P607" i="1"/>
  <c r="E607" i="1"/>
  <c r="P606" i="1"/>
  <c r="E606" i="1"/>
  <c r="P605" i="1"/>
  <c r="E605" i="1"/>
  <c r="P604" i="1"/>
  <c r="E604" i="1"/>
  <c r="P603" i="1"/>
  <c r="E603" i="1"/>
  <c r="P602" i="1"/>
  <c r="E602" i="1"/>
  <c r="P601" i="1"/>
  <c r="E601" i="1"/>
  <c r="P600" i="1"/>
  <c r="E600" i="1"/>
  <c r="P599" i="1"/>
  <c r="E599" i="1"/>
  <c r="P598" i="1"/>
  <c r="E598" i="1"/>
  <c r="P597" i="1"/>
  <c r="E597" i="1"/>
  <c r="P596" i="1"/>
  <c r="E596" i="1"/>
  <c r="P595" i="1"/>
  <c r="E595" i="1"/>
  <c r="P594" i="1"/>
  <c r="E594" i="1"/>
  <c r="P593" i="1"/>
  <c r="E593" i="1"/>
  <c r="P592" i="1"/>
  <c r="E592" i="1"/>
  <c r="P591" i="1"/>
  <c r="E591" i="1"/>
  <c r="P590" i="1"/>
  <c r="E590" i="1"/>
  <c r="P589" i="1"/>
  <c r="E589" i="1"/>
  <c r="P588" i="1"/>
  <c r="E588" i="1"/>
  <c r="P587" i="1"/>
  <c r="E587" i="1"/>
  <c r="P586" i="1"/>
  <c r="E586" i="1"/>
  <c r="P585" i="1"/>
  <c r="E585" i="1"/>
  <c r="P584" i="1"/>
  <c r="E584" i="1"/>
  <c r="P583" i="1"/>
  <c r="E583" i="1"/>
  <c r="P582" i="1"/>
  <c r="E582" i="1"/>
  <c r="P581" i="1"/>
  <c r="E581" i="1"/>
  <c r="P580" i="1"/>
  <c r="E580" i="1"/>
  <c r="P579" i="1"/>
  <c r="E579" i="1"/>
  <c r="P578" i="1"/>
  <c r="E578" i="1"/>
  <c r="P577" i="1"/>
  <c r="E577" i="1"/>
  <c r="P576" i="1"/>
  <c r="E576" i="1"/>
  <c r="P575" i="1"/>
  <c r="E575" i="1"/>
  <c r="P574" i="1"/>
  <c r="E574" i="1"/>
  <c r="P573" i="1"/>
  <c r="E573" i="1"/>
  <c r="P572" i="1"/>
  <c r="E572" i="1"/>
  <c r="P571" i="1"/>
  <c r="E571" i="1"/>
  <c r="P570" i="1"/>
  <c r="E570" i="1"/>
  <c r="P569" i="1"/>
  <c r="E569" i="1"/>
  <c r="P568" i="1"/>
  <c r="E568" i="1"/>
  <c r="P567" i="1"/>
  <c r="E567" i="1"/>
  <c r="P566" i="1"/>
  <c r="E566" i="1"/>
  <c r="P565" i="1"/>
  <c r="E565" i="1"/>
  <c r="P564" i="1"/>
  <c r="E564" i="1"/>
  <c r="P563" i="1"/>
  <c r="E563" i="1"/>
  <c r="P562" i="1"/>
  <c r="E562" i="1"/>
  <c r="P561" i="1"/>
  <c r="E561" i="1"/>
  <c r="P560" i="1"/>
  <c r="E560" i="1"/>
  <c r="P559" i="1"/>
  <c r="E559" i="1"/>
  <c r="P558" i="1"/>
  <c r="E558" i="1"/>
  <c r="P557" i="1"/>
  <c r="E557" i="1"/>
  <c r="P556" i="1"/>
  <c r="E556" i="1"/>
  <c r="P555" i="1"/>
  <c r="E555" i="1"/>
  <c r="P554" i="1"/>
  <c r="E554" i="1"/>
  <c r="P553" i="1"/>
  <c r="E553" i="1"/>
  <c r="P552" i="1"/>
  <c r="E552" i="1"/>
  <c r="P551" i="1"/>
  <c r="E551" i="1"/>
  <c r="P550" i="1"/>
  <c r="E550" i="1"/>
  <c r="P549" i="1"/>
  <c r="E549" i="1"/>
  <c r="P548" i="1"/>
  <c r="E548" i="1"/>
  <c r="P547" i="1"/>
  <c r="E547" i="1"/>
  <c r="P546" i="1"/>
  <c r="E546" i="1"/>
  <c r="P545" i="1"/>
  <c r="E545" i="1"/>
  <c r="P544" i="1"/>
  <c r="E544" i="1"/>
  <c r="P543" i="1"/>
  <c r="E543" i="1"/>
  <c r="P542" i="1"/>
  <c r="E542" i="1"/>
  <c r="P541" i="1"/>
  <c r="E541" i="1"/>
  <c r="P540" i="1"/>
  <c r="E540" i="1"/>
  <c r="P539" i="1"/>
  <c r="E539" i="1"/>
  <c r="P538" i="1"/>
  <c r="E538" i="1"/>
  <c r="P537" i="1"/>
  <c r="E537" i="1"/>
  <c r="P536" i="1"/>
  <c r="E536" i="1"/>
  <c r="P535" i="1"/>
  <c r="E535" i="1"/>
  <c r="P534" i="1"/>
  <c r="E534" i="1"/>
  <c r="P533" i="1"/>
  <c r="E533" i="1"/>
  <c r="P532" i="1"/>
  <c r="E532" i="1"/>
  <c r="P531" i="1"/>
  <c r="E531" i="1"/>
  <c r="P530" i="1"/>
  <c r="E530" i="1"/>
  <c r="P529" i="1"/>
  <c r="E529" i="1"/>
  <c r="P528" i="1"/>
  <c r="E528" i="1"/>
  <c r="P527" i="1"/>
  <c r="E527" i="1"/>
  <c r="P526" i="1"/>
  <c r="E526" i="1"/>
  <c r="P525" i="1"/>
  <c r="E525" i="1"/>
  <c r="P524" i="1"/>
  <c r="E524" i="1"/>
  <c r="P523" i="1"/>
  <c r="E523" i="1"/>
  <c r="P522" i="1"/>
  <c r="E522" i="1"/>
  <c r="P521" i="1"/>
  <c r="E521" i="1"/>
  <c r="P520" i="1"/>
  <c r="E520" i="1"/>
  <c r="P519" i="1"/>
  <c r="E519" i="1"/>
  <c r="P518" i="1"/>
  <c r="E518" i="1"/>
  <c r="P517" i="1"/>
  <c r="E517" i="1"/>
  <c r="P516" i="1"/>
  <c r="E516" i="1"/>
  <c r="P515" i="1"/>
  <c r="E515" i="1"/>
  <c r="P514" i="1"/>
  <c r="E514" i="1"/>
  <c r="P513" i="1"/>
  <c r="E513" i="1"/>
  <c r="P512" i="1"/>
  <c r="E512" i="1"/>
  <c r="P511" i="1"/>
  <c r="E511" i="1"/>
  <c r="P510" i="1"/>
  <c r="E510" i="1"/>
  <c r="P509" i="1"/>
  <c r="E509" i="1"/>
  <c r="P508" i="1"/>
  <c r="E508" i="1"/>
  <c r="P507" i="1"/>
  <c r="E507" i="1"/>
  <c r="P506" i="1"/>
  <c r="E506" i="1"/>
  <c r="P505" i="1"/>
  <c r="E505" i="1"/>
  <c r="P504" i="1"/>
  <c r="E504" i="1"/>
  <c r="P503" i="1"/>
  <c r="E503" i="1"/>
  <c r="P502" i="1"/>
  <c r="E502" i="1"/>
  <c r="P501" i="1"/>
  <c r="E501" i="1"/>
  <c r="P500" i="1"/>
  <c r="E500" i="1"/>
  <c r="P499" i="1"/>
  <c r="E499" i="1"/>
  <c r="P498" i="1"/>
  <c r="E498" i="1"/>
  <c r="P497" i="1"/>
  <c r="E497" i="1"/>
  <c r="P496" i="1"/>
  <c r="E496" i="1"/>
  <c r="P495" i="1"/>
  <c r="E495" i="1"/>
  <c r="P494" i="1"/>
  <c r="E494" i="1"/>
  <c r="P493" i="1"/>
  <c r="E493" i="1"/>
  <c r="P492" i="1"/>
  <c r="E492" i="1"/>
  <c r="P491" i="1"/>
  <c r="E491" i="1"/>
  <c r="P490" i="1"/>
  <c r="E490" i="1"/>
  <c r="P489" i="1"/>
  <c r="E489" i="1"/>
  <c r="P488" i="1"/>
  <c r="E488" i="1"/>
  <c r="P487" i="1"/>
  <c r="E487" i="1"/>
  <c r="P486" i="1"/>
  <c r="E486" i="1"/>
  <c r="P485" i="1"/>
  <c r="E485" i="1"/>
  <c r="P484" i="1"/>
  <c r="E484" i="1"/>
  <c r="P483" i="1"/>
  <c r="E483" i="1"/>
  <c r="P482" i="1"/>
  <c r="E482" i="1"/>
  <c r="P481" i="1"/>
  <c r="E481" i="1"/>
  <c r="P480" i="1"/>
  <c r="E480" i="1"/>
  <c r="P479" i="1"/>
  <c r="E479" i="1"/>
  <c r="P478" i="1"/>
  <c r="E478" i="1"/>
  <c r="P477" i="1"/>
  <c r="E477" i="1"/>
  <c r="P476" i="1"/>
  <c r="E476" i="1"/>
  <c r="P475" i="1"/>
  <c r="E475" i="1"/>
  <c r="P474" i="1"/>
  <c r="E474" i="1"/>
  <c r="P473" i="1"/>
  <c r="E473" i="1"/>
  <c r="P472" i="1"/>
  <c r="E472" i="1"/>
  <c r="P471" i="1"/>
  <c r="E471" i="1"/>
  <c r="P470" i="1"/>
  <c r="E470" i="1"/>
  <c r="P469" i="1"/>
  <c r="E469" i="1"/>
  <c r="P468" i="1"/>
  <c r="E468" i="1"/>
  <c r="P467" i="1"/>
  <c r="E467" i="1"/>
  <c r="P466" i="1"/>
  <c r="E466" i="1"/>
  <c r="P465" i="1"/>
  <c r="E465" i="1"/>
  <c r="P464" i="1"/>
  <c r="E464" i="1"/>
  <c r="P463" i="1"/>
  <c r="E463" i="1"/>
  <c r="P462" i="1"/>
  <c r="E462" i="1"/>
  <c r="P461" i="1"/>
  <c r="E461" i="1"/>
  <c r="P460" i="1"/>
  <c r="E460" i="1"/>
  <c r="P459" i="1"/>
  <c r="E459" i="1"/>
  <c r="P458" i="1"/>
  <c r="E458" i="1"/>
  <c r="P457" i="1"/>
  <c r="E457" i="1"/>
  <c r="P456" i="1"/>
  <c r="E456" i="1"/>
  <c r="P455" i="1"/>
  <c r="E455" i="1"/>
  <c r="P454" i="1"/>
  <c r="E454" i="1"/>
  <c r="P453" i="1"/>
  <c r="E453" i="1"/>
  <c r="P452" i="1"/>
  <c r="E452" i="1"/>
  <c r="P451" i="1"/>
  <c r="E451" i="1"/>
  <c r="P450" i="1"/>
  <c r="E450" i="1"/>
  <c r="P449" i="1"/>
  <c r="E449" i="1"/>
  <c r="P448" i="1"/>
  <c r="E448" i="1"/>
  <c r="P447" i="1"/>
  <c r="E447" i="1"/>
  <c r="P446" i="1"/>
  <c r="E446" i="1"/>
  <c r="P445" i="1"/>
  <c r="E445" i="1"/>
  <c r="P444" i="1"/>
  <c r="E444" i="1"/>
  <c r="P443" i="1"/>
  <c r="E443" i="1"/>
  <c r="P442" i="1"/>
  <c r="E442" i="1"/>
  <c r="P441" i="1"/>
  <c r="E441" i="1"/>
  <c r="P440" i="1"/>
  <c r="E440" i="1"/>
  <c r="P439" i="1"/>
  <c r="E439" i="1"/>
  <c r="P438" i="1"/>
  <c r="E438" i="1"/>
  <c r="P437" i="1"/>
  <c r="E437" i="1"/>
  <c r="P436" i="1"/>
  <c r="E436" i="1"/>
  <c r="P435" i="1"/>
  <c r="E435" i="1"/>
  <c r="P434" i="1"/>
  <c r="E434" i="1"/>
  <c r="P433" i="1"/>
  <c r="E433" i="1"/>
  <c r="P432" i="1"/>
  <c r="E432" i="1"/>
  <c r="P431" i="1"/>
  <c r="E431" i="1"/>
  <c r="P430" i="1"/>
  <c r="E430" i="1"/>
  <c r="P429" i="1"/>
  <c r="E429" i="1"/>
  <c r="P428" i="1"/>
  <c r="E428" i="1"/>
  <c r="P427" i="1"/>
  <c r="E427" i="1"/>
  <c r="P426" i="1"/>
  <c r="E426" i="1"/>
  <c r="P425" i="1"/>
  <c r="E425" i="1"/>
  <c r="P424" i="1"/>
  <c r="E424" i="1"/>
  <c r="P423" i="1"/>
  <c r="E423" i="1"/>
  <c r="P422" i="1"/>
  <c r="E422" i="1"/>
  <c r="P421" i="1"/>
  <c r="E421" i="1"/>
  <c r="P420" i="1"/>
  <c r="E420" i="1"/>
  <c r="P419" i="1"/>
  <c r="E419" i="1"/>
  <c r="P418" i="1"/>
  <c r="E418" i="1"/>
  <c r="P417" i="1"/>
  <c r="E417" i="1"/>
  <c r="P416" i="1"/>
  <c r="E416" i="1"/>
  <c r="P415" i="1"/>
  <c r="E415" i="1"/>
  <c r="P414" i="1"/>
  <c r="E414" i="1"/>
  <c r="P413" i="1"/>
  <c r="E413" i="1"/>
  <c r="P412" i="1"/>
  <c r="E412" i="1"/>
  <c r="P411" i="1"/>
  <c r="E411" i="1"/>
  <c r="P410" i="1"/>
  <c r="E410" i="1"/>
  <c r="P409" i="1"/>
  <c r="E409" i="1"/>
  <c r="P408" i="1"/>
  <c r="E408" i="1"/>
  <c r="P407" i="1"/>
  <c r="E407" i="1"/>
  <c r="P406" i="1"/>
  <c r="E406" i="1"/>
  <c r="P405" i="1"/>
  <c r="E405" i="1"/>
  <c r="P404" i="1"/>
  <c r="E404" i="1"/>
  <c r="P403" i="1"/>
  <c r="E403" i="1"/>
  <c r="P402" i="1"/>
  <c r="E402" i="1"/>
  <c r="P401" i="1"/>
  <c r="E401" i="1"/>
  <c r="P400" i="1"/>
  <c r="E400" i="1"/>
  <c r="P399" i="1"/>
  <c r="E399" i="1"/>
  <c r="P398" i="1"/>
  <c r="E398" i="1"/>
  <c r="P397" i="1"/>
  <c r="E397" i="1"/>
  <c r="P396" i="1"/>
  <c r="E396" i="1"/>
  <c r="P395" i="1"/>
  <c r="E395" i="1"/>
  <c r="P394" i="1"/>
  <c r="E394" i="1"/>
  <c r="P393" i="1"/>
  <c r="E393" i="1"/>
  <c r="P392" i="1"/>
  <c r="E392" i="1"/>
  <c r="P391" i="1"/>
  <c r="E391" i="1"/>
  <c r="P390" i="1"/>
  <c r="E390" i="1"/>
  <c r="P389" i="1"/>
  <c r="E389" i="1"/>
  <c r="P388" i="1"/>
  <c r="E388" i="1"/>
  <c r="P387" i="1"/>
  <c r="E387" i="1"/>
  <c r="P386" i="1"/>
  <c r="E386" i="1"/>
  <c r="P385" i="1"/>
  <c r="E385" i="1"/>
  <c r="P384" i="1"/>
  <c r="E384" i="1"/>
  <c r="P383" i="1"/>
  <c r="E383" i="1"/>
  <c r="P382" i="1"/>
  <c r="E382" i="1"/>
  <c r="P381" i="1"/>
  <c r="E381" i="1"/>
  <c r="P380" i="1"/>
  <c r="E380" i="1"/>
  <c r="P379" i="1"/>
  <c r="E379" i="1"/>
  <c r="P378" i="1"/>
  <c r="E378" i="1"/>
  <c r="P377" i="1"/>
  <c r="E377" i="1"/>
  <c r="P376" i="1"/>
  <c r="E376" i="1"/>
  <c r="P375" i="1"/>
  <c r="E375" i="1"/>
  <c r="P374" i="1"/>
  <c r="E374" i="1"/>
  <c r="P373" i="1"/>
  <c r="E373" i="1"/>
  <c r="P372" i="1"/>
  <c r="E372" i="1"/>
  <c r="P371" i="1"/>
  <c r="E371" i="1"/>
  <c r="P370" i="1"/>
  <c r="E370" i="1"/>
  <c r="P369" i="1"/>
  <c r="E369" i="1"/>
  <c r="P368" i="1"/>
  <c r="E368" i="1"/>
  <c r="P367" i="1"/>
  <c r="E367" i="1"/>
  <c r="P366" i="1"/>
  <c r="E366" i="1"/>
  <c r="P365" i="1"/>
  <c r="E365" i="1"/>
  <c r="P364" i="1"/>
  <c r="E364" i="1"/>
  <c r="P363" i="1"/>
  <c r="E363" i="1"/>
  <c r="P362" i="1"/>
  <c r="E362" i="1"/>
  <c r="P361" i="1"/>
  <c r="E361" i="1"/>
  <c r="P360" i="1"/>
  <c r="E360" i="1"/>
  <c r="P359" i="1"/>
  <c r="E359" i="1"/>
  <c r="P358" i="1"/>
  <c r="E358" i="1"/>
  <c r="P357" i="1"/>
  <c r="E357" i="1"/>
  <c r="P356" i="1"/>
  <c r="E356" i="1"/>
  <c r="P355" i="1"/>
  <c r="E355" i="1"/>
  <c r="P354" i="1"/>
  <c r="E354" i="1"/>
  <c r="P353" i="1"/>
  <c r="E353" i="1"/>
  <c r="P352" i="1"/>
  <c r="E352" i="1"/>
  <c r="P351" i="1"/>
  <c r="E351" i="1"/>
  <c r="P350" i="1"/>
  <c r="E350" i="1"/>
  <c r="P349" i="1"/>
  <c r="E349" i="1"/>
  <c r="P348" i="1"/>
  <c r="E348" i="1"/>
  <c r="P347" i="1"/>
  <c r="E347" i="1"/>
  <c r="P346" i="1"/>
  <c r="E346" i="1"/>
  <c r="P345" i="1"/>
  <c r="E345" i="1"/>
  <c r="P344" i="1"/>
  <c r="E344" i="1"/>
  <c r="P343" i="1"/>
  <c r="E343" i="1"/>
  <c r="P342" i="1"/>
  <c r="E342" i="1"/>
  <c r="P341" i="1"/>
  <c r="E341" i="1"/>
  <c r="P340" i="1"/>
  <c r="E340" i="1"/>
  <c r="P339" i="1"/>
  <c r="E339" i="1"/>
  <c r="P338" i="1"/>
  <c r="E338" i="1"/>
  <c r="P337" i="1"/>
  <c r="E337" i="1"/>
  <c r="P336" i="1"/>
  <c r="E336" i="1"/>
  <c r="P335" i="1"/>
  <c r="E335" i="1"/>
  <c r="P334" i="1"/>
  <c r="E334" i="1"/>
  <c r="P333" i="1"/>
  <c r="E333" i="1"/>
  <c r="P332" i="1"/>
  <c r="E332" i="1"/>
  <c r="P331" i="1"/>
  <c r="E331" i="1"/>
  <c r="P330" i="1"/>
  <c r="E330" i="1"/>
  <c r="P329" i="1"/>
  <c r="E329" i="1"/>
  <c r="P328" i="1"/>
  <c r="E328" i="1"/>
  <c r="P327" i="1"/>
  <c r="E327" i="1"/>
  <c r="P326" i="1"/>
  <c r="E326" i="1"/>
  <c r="P325" i="1"/>
  <c r="E325" i="1"/>
  <c r="P324" i="1"/>
  <c r="E324" i="1"/>
  <c r="P323" i="1"/>
  <c r="E323" i="1"/>
  <c r="P322" i="1"/>
  <c r="E322" i="1"/>
  <c r="P321" i="1"/>
  <c r="E321" i="1"/>
  <c r="P320" i="1"/>
  <c r="E320" i="1"/>
  <c r="P319" i="1"/>
  <c r="E319" i="1"/>
  <c r="P318" i="1"/>
  <c r="E318" i="1"/>
  <c r="P317" i="1"/>
  <c r="E317" i="1"/>
  <c r="P316" i="1"/>
  <c r="E316" i="1"/>
  <c r="P315" i="1"/>
  <c r="E315" i="1"/>
  <c r="P314" i="1"/>
  <c r="E314" i="1"/>
  <c r="P313" i="1"/>
  <c r="E313" i="1"/>
  <c r="P312" i="1"/>
  <c r="E312" i="1"/>
  <c r="P311" i="1"/>
  <c r="E311" i="1"/>
  <c r="P310" i="1"/>
  <c r="E310" i="1"/>
  <c r="P309" i="1"/>
  <c r="E309" i="1"/>
  <c r="P308" i="1"/>
  <c r="E308" i="1"/>
  <c r="P307" i="1"/>
  <c r="E307" i="1"/>
  <c r="P306" i="1"/>
  <c r="E306" i="1"/>
  <c r="P305" i="1"/>
  <c r="E305" i="1"/>
  <c r="P304" i="1"/>
  <c r="E304" i="1"/>
  <c r="P303" i="1"/>
  <c r="E303" i="1"/>
  <c r="P302" i="1"/>
  <c r="E302" i="1"/>
  <c r="P301" i="1"/>
  <c r="E301" i="1"/>
  <c r="P300" i="1"/>
  <c r="E300" i="1"/>
  <c r="P299" i="1"/>
  <c r="E299" i="1"/>
  <c r="P298" i="1"/>
  <c r="E298" i="1"/>
  <c r="P297" i="1"/>
  <c r="E297" i="1"/>
  <c r="P296" i="1"/>
  <c r="E296" i="1"/>
  <c r="P295" i="1"/>
  <c r="E295" i="1"/>
  <c r="P294" i="1"/>
  <c r="E294" i="1"/>
  <c r="P293" i="1"/>
  <c r="E293" i="1"/>
  <c r="P292" i="1"/>
  <c r="E292" i="1"/>
  <c r="P291" i="1"/>
  <c r="E291" i="1"/>
  <c r="P290" i="1"/>
  <c r="E290" i="1"/>
  <c r="P289" i="1"/>
  <c r="E289" i="1"/>
  <c r="P288" i="1"/>
  <c r="E288" i="1"/>
  <c r="P287" i="1"/>
  <c r="E287" i="1"/>
  <c r="P286" i="1"/>
  <c r="E286" i="1"/>
  <c r="P285" i="1"/>
  <c r="E285" i="1"/>
  <c r="P284" i="1"/>
  <c r="E284" i="1"/>
  <c r="P283" i="1"/>
  <c r="E283" i="1"/>
  <c r="P282" i="1"/>
  <c r="E282" i="1"/>
  <c r="P281" i="1"/>
  <c r="E281" i="1"/>
  <c r="P280" i="1"/>
  <c r="E280" i="1"/>
  <c r="P279" i="1"/>
  <c r="E279" i="1"/>
  <c r="P278" i="1"/>
  <c r="E278" i="1"/>
  <c r="P277" i="1"/>
  <c r="E277" i="1"/>
  <c r="P276" i="1"/>
  <c r="E276" i="1"/>
  <c r="P275" i="1"/>
  <c r="E275" i="1"/>
  <c r="P274" i="1"/>
  <c r="E274" i="1"/>
  <c r="P273" i="1"/>
  <c r="E273" i="1"/>
  <c r="P272" i="1"/>
  <c r="E272" i="1"/>
  <c r="P271" i="1"/>
  <c r="E271" i="1"/>
  <c r="P270" i="1"/>
  <c r="E270" i="1"/>
  <c r="P269" i="1"/>
  <c r="E269" i="1"/>
  <c r="P268" i="1"/>
  <c r="E268" i="1"/>
  <c r="P267" i="1"/>
  <c r="E267" i="1"/>
  <c r="P266" i="1"/>
  <c r="E266" i="1"/>
  <c r="P265" i="1"/>
  <c r="E265" i="1"/>
  <c r="P264" i="1"/>
  <c r="E264" i="1"/>
  <c r="P263" i="1"/>
  <c r="E263" i="1"/>
  <c r="P262" i="1"/>
  <c r="E262" i="1"/>
  <c r="P261" i="1"/>
  <c r="E261" i="1"/>
  <c r="P260" i="1"/>
  <c r="E260" i="1"/>
  <c r="P259" i="1"/>
  <c r="E259" i="1"/>
  <c r="P258" i="1"/>
  <c r="E258" i="1"/>
  <c r="P257" i="1"/>
  <c r="E257" i="1"/>
  <c r="P256" i="1"/>
  <c r="E256" i="1"/>
  <c r="P255" i="1"/>
  <c r="E255" i="1"/>
  <c r="P254" i="1"/>
  <c r="E254" i="1"/>
  <c r="P253" i="1"/>
  <c r="E253" i="1"/>
  <c r="P252" i="1"/>
  <c r="E252" i="1"/>
  <c r="P251" i="1"/>
  <c r="E251" i="1"/>
  <c r="P250" i="1"/>
  <c r="E250" i="1"/>
  <c r="P249" i="1"/>
  <c r="E249" i="1"/>
  <c r="P248" i="1"/>
  <c r="E248" i="1"/>
  <c r="P247" i="1"/>
  <c r="E247" i="1"/>
  <c r="P246" i="1"/>
  <c r="E246" i="1"/>
  <c r="P245" i="1"/>
  <c r="E245" i="1"/>
  <c r="P244" i="1"/>
  <c r="E244" i="1"/>
  <c r="P243" i="1"/>
  <c r="E243" i="1"/>
  <c r="P242" i="1"/>
  <c r="E242" i="1"/>
  <c r="P241" i="1"/>
  <c r="E241" i="1"/>
  <c r="P240" i="1"/>
  <c r="E240" i="1"/>
  <c r="P239" i="1"/>
  <c r="E239" i="1"/>
  <c r="P238" i="1"/>
  <c r="E238" i="1"/>
  <c r="P237" i="1"/>
  <c r="E237" i="1"/>
  <c r="P236" i="1"/>
  <c r="E236" i="1"/>
  <c r="P235" i="1"/>
  <c r="E235" i="1"/>
  <c r="P234" i="1"/>
  <c r="E234" i="1"/>
  <c r="P233" i="1"/>
  <c r="E233" i="1"/>
  <c r="P232" i="1"/>
  <c r="E232" i="1"/>
  <c r="P231" i="1"/>
  <c r="E231" i="1"/>
  <c r="P230" i="1"/>
  <c r="E230" i="1"/>
  <c r="P229" i="1"/>
  <c r="E229" i="1"/>
  <c r="P228" i="1"/>
  <c r="E228" i="1"/>
  <c r="P227" i="1"/>
  <c r="E227" i="1"/>
  <c r="P226" i="1"/>
  <c r="E226" i="1"/>
  <c r="P225" i="1"/>
  <c r="E225" i="1"/>
  <c r="P224" i="1"/>
  <c r="E224" i="1"/>
  <c r="P223" i="1"/>
  <c r="E223" i="1"/>
  <c r="P222" i="1"/>
  <c r="E222" i="1"/>
  <c r="P221" i="1"/>
  <c r="E221" i="1"/>
  <c r="P220" i="1"/>
  <c r="E220" i="1"/>
  <c r="P219" i="1"/>
  <c r="E219" i="1"/>
  <c r="P218" i="1"/>
  <c r="E218" i="1"/>
  <c r="P217" i="1"/>
  <c r="E217" i="1"/>
  <c r="P216" i="1"/>
  <c r="E216" i="1"/>
  <c r="P215" i="1"/>
  <c r="E215" i="1"/>
  <c r="P214" i="1"/>
  <c r="E214" i="1"/>
  <c r="P213" i="1"/>
  <c r="E213" i="1"/>
  <c r="P212" i="1"/>
  <c r="E212" i="1"/>
  <c r="P211" i="1"/>
  <c r="E211" i="1"/>
  <c r="P210" i="1"/>
  <c r="E210" i="1"/>
  <c r="P209" i="1"/>
  <c r="E209" i="1"/>
  <c r="P208" i="1"/>
  <c r="E208" i="1"/>
  <c r="P207" i="1"/>
  <c r="E207" i="1"/>
  <c r="P206" i="1"/>
  <c r="E206" i="1"/>
  <c r="P205" i="1"/>
  <c r="E205" i="1"/>
  <c r="P204" i="1"/>
  <c r="E204" i="1"/>
  <c r="P203" i="1"/>
  <c r="E203" i="1"/>
  <c r="P202" i="1"/>
  <c r="E202" i="1"/>
  <c r="P201" i="1"/>
  <c r="E201" i="1"/>
  <c r="P200" i="1"/>
  <c r="E200" i="1"/>
  <c r="P199" i="1"/>
  <c r="E199" i="1"/>
  <c r="P198" i="1"/>
  <c r="E198" i="1"/>
  <c r="P197" i="1"/>
  <c r="E197" i="1"/>
  <c r="P196" i="1"/>
  <c r="E196" i="1"/>
  <c r="P195" i="1"/>
  <c r="E195" i="1"/>
  <c r="P194" i="1"/>
  <c r="E194" i="1"/>
  <c r="P193" i="1"/>
  <c r="E193" i="1"/>
  <c r="P192" i="1"/>
  <c r="E192" i="1"/>
  <c r="P191" i="1"/>
  <c r="E191" i="1"/>
  <c r="P190" i="1"/>
  <c r="E190" i="1"/>
  <c r="P189" i="1"/>
  <c r="E189" i="1"/>
  <c r="P188" i="1"/>
  <c r="E188" i="1"/>
  <c r="P187" i="1"/>
  <c r="E187" i="1"/>
  <c r="P186" i="1"/>
  <c r="E186" i="1"/>
  <c r="P185" i="1"/>
  <c r="E185" i="1"/>
  <c r="P184" i="1"/>
  <c r="E184" i="1"/>
  <c r="P183" i="1"/>
  <c r="E183" i="1"/>
  <c r="P182" i="1"/>
  <c r="E182" i="1"/>
  <c r="P181" i="1"/>
  <c r="E181" i="1"/>
  <c r="P180" i="1"/>
  <c r="E180" i="1"/>
  <c r="P179" i="1"/>
  <c r="E179" i="1"/>
  <c r="P178" i="1"/>
  <c r="E178" i="1"/>
  <c r="P177" i="1"/>
  <c r="E177" i="1"/>
  <c r="P176" i="1"/>
  <c r="E176" i="1"/>
  <c r="P175" i="1"/>
  <c r="E175" i="1"/>
  <c r="P174" i="1"/>
  <c r="E174" i="1"/>
  <c r="P173" i="1"/>
  <c r="E173" i="1"/>
  <c r="P172" i="1"/>
  <c r="E172" i="1"/>
  <c r="P171" i="1"/>
  <c r="E171" i="1"/>
  <c r="P170" i="1"/>
  <c r="E170" i="1"/>
  <c r="P169" i="1"/>
  <c r="E169" i="1"/>
  <c r="P168" i="1"/>
  <c r="E168" i="1"/>
  <c r="P167" i="1"/>
  <c r="E167" i="1"/>
  <c r="P166" i="1"/>
  <c r="E166" i="1"/>
  <c r="P165" i="1"/>
  <c r="E165" i="1"/>
  <c r="P164" i="1"/>
  <c r="E164" i="1"/>
  <c r="P163" i="1"/>
  <c r="E163" i="1"/>
  <c r="P162" i="1"/>
  <c r="E162" i="1"/>
  <c r="P161" i="1"/>
  <c r="E161" i="1"/>
  <c r="P160" i="1"/>
  <c r="E160" i="1"/>
  <c r="P159" i="1"/>
  <c r="E159" i="1"/>
  <c r="P158" i="1"/>
  <c r="E158" i="1"/>
  <c r="P157" i="1"/>
  <c r="E157" i="1"/>
  <c r="P156" i="1"/>
  <c r="E156" i="1"/>
  <c r="P155" i="1"/>
  <c r="E155" i="1"/>
  <c r="P154" i="1"/>
  <c r="E154" i="1"/>
  <c r="P153" i="1"/>
  <c r="E153" i="1"/>
  <c r="P152" i="1"/>
  <c r="E152" i="1"/>
  <c r="P151" i="1"/>
  <c r="E151" i="1"/>
  <c r="P150" i="1"/>
  <c r="E150" i="1"/>
  <c r="P149" i="1"/>
  <c r="E149" i="1"/>
  <c r="P148" i="1"/>
  <c r="E148" i="1"/>
  <c r="P147" i="1"/>
  <c r="E147" i="1"/>
  <c r="P146" i="1"/>
  <c r="E146" i="1"/>
  <c r="P145" i="1"/>
  <c r="E145" i="1"/>
  <c r="P144" i="1"/>
  <c r="E144" i="1"/>
  <c r="P143" i="1"/>
  <c r="E143" i="1"/>
  <c r="P142" i="1"/>
  <c r="E142" i="1"/>
  <c r="P141" i="1"/>
  <c r="E141" i="1"/>
  <c r="P140" i="1"/>
  <c r="E140" i="1"/>
  <c r="P139" i="1"/>
  <c r="E139" i="1"/>
  <c r="P138" i="1"/>
  <c r="E138" i="1"/>
  <c r="P137" i="1"/>
  <c r="E137" i="1"/>
  <c r="P136" i="1"/>
  <c r="E136" i="1"/>
  <c r="P135" i="1"/>
  <c r="E135" i="1"/>
  <c r="P134" i="1"/>
  <c r="E134" i="1"/>
  <c r="P133" i="1"/>
  <c r="E133" i="1"/>
  <c r="P132" i="1"/>
  <c r="E132" i="1"/>
  <c r="P131" i="1"/>
  <c r="E131" i="1"/>
  <c r="P130" i="1"/>
  <c r="E130" i="1"/>
  <c r="P129" i="1"/>
  <c r="E129" i="1"/>
  <c r="P128" i="1"/>
  <c r="E128" i="1"/>
  <c r="P127" i="1"/>
  <c r="E127" i="1"/>
  <c r="P126" i="1"/>
  <c r="E126" i="1"/>
  <c r="P125" i="1"/>
  <c r="E125" i="1"/>
  <c r="P124" i="1"/>
  <c r="E124" i="1"/>
  <c r="P123" i="1"/>
  <c r="E123" i="1"/>
  <c r="P122" i="1"/>
  <c r="E122" i="1"/>
  <c r="P121" i="1"/>
  <c r="E121" i="1"/>
  <c r="P120" i="1"/>
  <c r="E120" i="1"/>
  <c r="P119" i="1"/>
  <c r="E119" i="1"/>
  <c r="P118" i="1"/>
  <c r="E118" i="1"/>
  <c r="P117" i="1"/>
  <c r="E117" i="1"/>
  <c r="P116" i="1"/>
  <c r="E116" i="1"/>
  <c r="P115" i="1"/>
  <c r="E115" i="1"/>
  <c r="P114" i="1"/>
  <c r="E114" i="1"/>
  <c r="P113" i="1"/>
  <c r="E113" i="1"/>
  <c r="P112" i="1"/>
  <c r="E112" i="1"/>
  <c r="P111" i="1"/>
  <c r="E111" i="1"/>
  <c r="P110" i="1"/>
  <c r="E110" i="1"/>
  <c r="P109" i="1"/>
  <c r="E109" i="1"/>
  <c r="P108" i="1"/>
  <c r="E108" i="1"/>
  <c r="P107" i="1"/>
  <c r="E107" i="1"/>
  <c r="P106" i="1"/>
  <c r="E106" i="1"/>
  <c r="P105" i="1"/>
  <c r="E105" i="1"/>
  <c r="P104" i="1"/>
  <c r="E104" i="1"/>
  <c r="P103" i="1"/>
  <c r="E103" i="1"/>
  <c r="P102" i="1"/>
  <c r="E102" i="1"/>
  <c r="P101" i="1"/>
  <c r="E101" i="1"/>
  <c r="P100" i="1"/>
  <c r="E100" i="1"/>
  <c r="P99" i="1"/>
  <c r="E99" i="1"/>
  <c r="P98" i="1"/>
  <c r="E98" i="1"/>
  <c r="P97" i="1"/>
  <c r="E97" i="1"/>
  <c r="P96" i="1"/>
  <c r="E96" i="1"/>
  <c r="P95" i="1"/>
  <c r="E95" i="1"/>
  <c r="P94" i="1"/>
  <c r="E94" i="1"/>
  <c r="P93" i="1"/>
  <c r="E93" i="1"/>
  <c r="P92" i="1"/>
  <c r="E92" i="1"/>
  <c r="P91" i="1"/>
  <c r="E91" i="1"/>
  <c r="P90" i="1"/>
  <c r="E90" i="1"/>
  <c r="P89" i="1"/>
  <c r="E89" i="1"/>
  <c r="P88" i="1"/>
  <c r="E88" i="1"/>
  <c r="P87" i="1"/>
  <c r="E87" i="1"/>
  <c r="P86" i="1"/>
  <c r="E86" i="1"/>
  <c r="P85" i="1"/>
  <c r="E85" i="1"/>
  <c r="P84" i="1"/>
  <c r="E84" i="1"/>
  <c r="P83" i="1"/>
  <c r="E83" i="1"/>
  <c r="P82" i="1"/>
  <c r="E82" i="1"/>
  <c r="P81" i="1"/>
  <c r="E81" i="1"/>
  <c r="P80" i="1"/>
  <c r="E80" i="1"/>
  <c r="P79" i="1"/>
  <c r="E79" i="1"/>
  <c r="P78" i="1"/>
  <c r="E78" i="1"/>
  <c r="P77" i="1"/>
  <c r="E77" i="1"/>
  <c r="P76" i="1"/>
  <c r="E76" i="1"/>
  <c r="P75" i="1"/>
  <c r="E75" i="1"/>
  <c r="P74" i="1"/>
  <c r="E74" i="1"/>
  <c r="P73" i="1"/>
  <c r="E73" i="1"/>
  <c r="P72" i="1"/>
  <c r="E72" i="1"/>
  <c r="P71" i="1"/>
  <c r="E71" i="1"/>
  <c r="P70" i="1"/>
  <c r="E70" i="1"/>
  <c r="P69" i="1"/>
  <c r="E69" i="1"/>
  <c r="P68" i="1"/>
  <c r="E68" i="1"/>
  <c r="P67" i="1"/>
  <c r="E67" i="1"/>
  <c r="P66" i="1"/>
  <c r="E66" i="1"/>
  <c r="P65" i="1"/>
  <c r="E65" i="1"/>
  <c r="P64" i="1"/>
  <c r="E64" i="1"/>
  <c r="P63" i="1"/>
  <c r="E63" i="1"/>
  <c r="P62" i="1"/>
  <c r="E62" i="1"/>
  <c r="P61" i="1"/>
  <c r="E61" i="1"/>
  <c r="P60" i="1"/>
  <c r="E60" i="1"/>
  <c r="P59" i="1"/>
  <c r="E59" i="1"/>
  <c r="P58" i="1"/>
  <c r="E58" i="1"/>
  <c r="P57" i="1"/>
  <c r="E57" i="1"/>
  <c r="P56" i="1"/>
  <c r="E56" i="1"/>
  <c r="P55" i="1"/>
  <c r="E55" i="1"/>
  <c r="P54" i="1"/>
  <c r="E54" i="1"/>
  <c r="P53" i="1"/>
  <c r="E53" i="1"/>
  <c r="P52" i="1"/>
  <c r="E52" i="1"/>
  <c r="P51" i="1"/>
  <c r="E51" i="1"/>
  <c r="P50" i="1"/>
  <c r="E50" i="1"/>
  <c r="P49" i="1"/>
  <c r="E49" i="1"/>
  <c r="P48" i="1"/>
  <c r="E48" i="1"/>
  <c r="P47" i="1"/>
  <c r="E47" i="1"/>
  <c r="P46" i="1"/>
  <c r="E46" i="1"/>
  <c r="P45" i="1"/>
  <c r="E45" i="1"/>
  <c r="P44" i="1"/>
  <c r="E44" i="1"/>
  <c r="P43" i="1"/>
  <c r="E43" i="1"/>
  <c r="P42" i="1"/>
  <c r="E42" i="1"/>
  <c r="P41" i="1"/>
  <c r="E41" i="1"/>
  <c r="P40" i="1"/>
  <c r="E40" i="1"/>
  <c r="P39" i="1"/>
  <c r="E39" i="1"/>
  <c r="P38" i="1"/>
  <c r="E38" i="1"/>
  <c r="P37" i="1"/>
  <c r="E37" i="1"/>
  <c r="P36" i="1"/>
  <c r="E36" i="1"/>
  <c r="P35" i="1"/>
  <c r="E35" i="1"/>
  <c r="P34" i="1"/>
  <c r="E34" i="1"/>
  <c r="P33" i="1"/>
  <c r="E33" i="1"/>
  <c r="P32" i="1"/>
  <c r="E32" i="1"/>
  <c r="P31" i="1"/>
  <c r="E31" i="1"/>
  <c r="P30" i="1"/>
  <c r="E30" i="1"/>
  <c r="P29" i="1"/>
  <c r="E29" i="1"/>
  <c r="P28" i="1"/>
  <c r="E28" i="1"/>
  <c r="P27" i="1"/>
  <c r="E27" i="1"/>
  <c r="P26" i="1"/>
  <c r="E26" i="1"/>
  <c r="P25" i="1"/>
  <c r="E25" i="1"/>
  <c r="P24" i="1"/>
  <c r="E24" i="1"/>
  <c r="P23" i="1"/>
  <c r="E23" i="1"/>
  <c r="P22" i="1"/>
  <c r="E22" i="1"/>
  <c r="P21" i="1"/>
  <c r="E21" i="1"/>
  <c r="P20" i="1"/>
  <c r="E20" i="1"/>
  <c r="P19" i="1"/>
  <c r="E19" i="1"/>
  <c r="P18" i="1"/>
  <c r="E18" i="1"/>
  <c r="P17" i="1"/>
  <c r="E17" i="1"/>
  <c r="P16" i="1"/>
  <c r="E16" i="1"/>
  <c r="P15" i="1"/>
  <c r="E15" i="1"/>
  <c r="P14" i="1"/>
  <c r="E14" i="1"/>
  <c r="P13" i="1"/>
  <c r="E13" i="1"/>
  <c r="P12" i="1"/>
  <c r="E12" i="1"/>
  <c r="P11" i="1"/>
  <c r="E11" i="1"/>
  <c r="P10" i="1"/>
  <c r="E10" i="1"/>
  <c r="P9" i="1"/>
  <c r="E9" i="1"/>
  <c r="P8" i="1"/>
  <c r="E8" i="1"/>
  <c r="P7" i="1"/>
  <c r="E7" i="1"/>
  <c r="P6" i="1"/>
  <c r="E6" i="1"/>
  <c r="P5" i="1"/>
  <c r="E5" i="1"/>
  <c r="P4" i="1"/>
  <c r="E4" i="1"/>
  <c r="P3" i="1"/>
  <c r="E3" i="1"/>
  <c r="P2" i="1"/>
  <c r="E2" i="1"/>
</calcChain>
</file>

<file path=xl/sharedStrings.xml><?xml version="1.0" encoding="utf-8"?>
<sst xmlns="http://schemas.openxmlformats.org/spreadsheetml/2006/main" count="32417" uniqueCount="2238">
  <si>
    <t>Acc No</t>
  </si>
  <si>
    <t>Client</t>
  </si>
  <si>
    <t>Type</t>
  </si>
  <si>
    <t>Invoice no</t>
  </si>
  <si>
    <t>Wb No</t>
  </si>
  <si>
    <t>Date</t>
  </si>
  <si>
    <t>Period</t>
  </si>
  <si>
    <t>Start</t>
  </si>
  <si>
    <t>Start Town</t>
  </si>
  <si>
    <t>Sender</t>
  </si>
  <si>
    <t>Carrier</t>
  </si>
  <si>
    <t>Dest</t>
  </si>
  <si>
    <t>Destination Town</t>
  </si>
  <si>
    <t>Receiver</t>
  </si>
  <si>
    <t>Srv</t>
  </si>
  <si>
    <t>Client Ref</t>
  </si>
  <si>
    <t>AFT</t>
  </si>
  <si>
    <t>Disc</t>
  </si>
  <si>
    <t>AMB</t>
  </si>
  <si>
    <t>BDR</t>
  </si>
  <si>
    <t>BPS</t>
  </si>
  <si>
    <t>CSH</t>
  </si>
  <si>
    <t>CTL</t>
  </si>
  <si>
    <t>DS1</t>
  </si>
  <si>
    <t>DSD</t>
  </si>
  <si>
    <t>EAR</t>
  </si>
  <si>
    <t>EMB</t>
  </si>
  <si>
    <t>FUE</t>
  </si>
  <si>
    <t>FUX</t>
  </si>
  <si>
    <t>HAZ</t>
  </si>
  <si>
    <t>HND</t>
  </si>
  <si>
    <t>IFL</t>
  </si>
  <si>
    <t>INH</t>
  </si>
  <si>
    <t>INS</t>
  </si>
  <si>
    <t>LTE</t>
  </si>
  <si>
    <t>NDC</t>
  </si>
  <si>
    <t>OUT</t>
  </si>
  <si>
    <t>RTL</t>
  </si>
  <si>
    <t>Other Charges</t>
  </si>
  <si>
    <t>Prcls</t>
  </si>
  <si>
    <t>Tot KG</t>
  </si>
  <si>
    <t>Tot Vol</t>
  </si>
  <si>
    <t>Mass</t>
  </si>
  <si>
    <t>Amount</t>
  </si>
  <si>
    <t>Vat</t>
  </si>
  <si>
    <t>Total</t>
  </si>
  <si>
    <t>Outstand</t>
  </si>
  <si>
    <t>Special Instructions</t>
  </si>
  <si>
    <t>Consignee Contact</t>
  </si>
  <si>
    <t>Sender Contact</t>
  </si>
  <si>
    <t>POD Date</t>
  </si>
  <si>
    <t>POD Time</t>
  </si>
  <si>
    <t>POD Name</t>
  </si>
  <si>
    <t>STD POD</t>
  </si>
  <si>
    <t>Reason</t>
  </si>
  <si>
    <t>Reason Captured</t>
  </si>
  <si>
    <t>Total Vol Mass</t>
  </si>
  <si>
    <t>Options</t>
  </si>
  <si>
    <t>POD Comments</t>
  </si>
  <si>
    <t>X-Option</t>
  </si>
  <si>
    <t>Dest Town</t>
  </si>
  <si>
    <t>Dest Postal Code</t>
  </si>
  <si>
    <t>Description of Contents</t>
  </si>
  <si>
    <t>POD Scan Date</t>
  </si>
  <si>
    <t>Status</t>
  </si>
  <si>
    <t>MF Comments</t>
  </si>
  <si>
    <t>Actual Days</t>
  </si>
  <si>
    <t>Agreed Days</t>
  </si>
  <si>
    <t>Rate</t>
  </si>
  <si>
    <t>Early Delivery</t>
  </si>
  <si>
    <t>Early Delivery Time</t>
  </si>
  <si>
    <t>MA Info</t>
  </si>
  <si>
    <t>C17924</t>
  </si>
  <si>
    <t>MOVE ANALYTICS CC (FESTO DIRECT DEL</t>
  </si>
  <si>
    <t>WAY</t>
  </si>
  <si>
    <t>KEMPT</t>
  </si>
  <si>
    <t>KEMPTON PARK</t>
  </si>
  <si>
    <t xml:space="preserve">FESTO (Move Analytics)             </t>
  </si>
  <si>
    <t xml:space="preserve">                                   </t>
  </si>
  <si>
    <t xml:space="preserve">ANG INDUSTRIAL SOLUTIONS PTY       </t>
  </si>
  <si>
    <t>DBC</t>
  </si>
  <si>
    <t>ANG INDUSTRIAL SOLUTIONS</t>
  </si>
  <si>
    <t>Gift Masinga</t>
  </si>
  <si>
    <t>Samuel</t>
  </si>
  <si>
    <t>yes</t>
  </si>
  <si>
    <t>POD received from cell 0791069864 M</t>
  </si>
  <si>
    <t xml:space="preserve">BOX                           </t>
  </si>
  <si>
    <t>no</t>
  </si>
  <si>
    <t xml:space="preserve">AUTO INDUSTRIAL MACHINING A DI     </t>
  </si>
  <si>
    <t>ON1</t>
  </si>
  <si>
    <t>AUTO INDUSTRIAL MACHINING A DI</t>
  </si>
  <si>
    <t>Simon</t>
  </si>
  <si>
    <t>POD received from cell 0837323487 M</t>
  </si>
  <si>
    <t xml:space="preserve">PARCEL                        </t>
  </si>
  <si>
    <t>PINET</t>
  </si>
  <si>
    <t>PINETOWN</t>
  </si>
  <si>
    <t xml:space="preserve">BAGTECH INTERNATIONAL PTY LTD      </t>
  </si>
  <si>
    <t>BAGTECH INTERNATIONAL</t>
  </si>
  <si>
    <t>Wiseman</t>
  </si>
  <si>
    <t>POD received from cell 0671865619 M</t>
  </si>
  <si>
    <t>DURBA</t>
  </si>
  <si>
    <t>DURBAN</t>
  </si>
  <si>
    <t xml:space="preserve">COMPRESSED AIR EQUIPMENT DURBA     </t>
  </si>
  <si>
    <t>COMPRESSED AIR EQUIPMENT DURBA</t>
  </si>
  <si>
    <t>Deez</t>
  </si>
  <si>
    <t>Flooding/road closure</t>
  </si>
  <si>
    <t>ntm</t>
  </si>
  <si>
    <t>POD received from cell 0658550146 M</t>
  </si>
  <si>
    <t xml:space="preserve">TUBING R                      </t>
  </si>
  <si>
    <t>KRUGE</t>
  </si>
  <si>
    <t>KRUGERSDORP</t>
  </si>
  <si>
    <t xml:space="preserve">SCHULLPAK GAUTENG (PTY) LTD        </t>
  </si>
  <si>
    <t>SCHULLPAK GAUTENG  PTY  LTD</t>
  </si>
  <si>
    <t>EVANS</t>
  </si>
  <si>
    <t>ASHTO</t>
  </si>
  <si>
    <t>ASHTON</t>
  </si>
  <si>
    <t xml:space="preserve">CSM BEARINGS   PNEUMATICS ASHT     </t>
  </si>
  <si>
    <t>CSM BEARINGS   PNEUMATICS ASHT</t>
  </si>
  <si>
    <t>A Steffens</t>
  </si>
  <si>
    <t>POD received from cell 0662882525 M</t>
  </si>
  <si>
    <t>UITEN</t>
  </si>
  <si>
    <t>UITENHAGE</t>
  </si>
  <si>
    <t xml:space="preserve">SPICER AXLE PTY LTD                </t>
  </si>
  <si>
    <t>SPICER AXLE PTY LTD</t>
  </si>
  <si>
    <t>marelize</t>
  </si>
  <si>
    <t>DOC</t>
  </si>
  <si>
    <t>POD received from cell 0793062989 M</t>
  </si>
  <si>
    <t>FLYER</t>
  </si>
  <si>
    <t>EAST</t>
  </si>
  <si>
    <t>EAST LONDON</t>
  </si>
  <si>
    <t xml:space="preserve">TI GROUP AUTOMOTIVE SYSTEMS (P     </t>
  </si>
  <si>
    <t>TI GROUP AUTOMOTIVE SYSTEMS  P</t>
  </si>
  <si>
    <t>recsan</t>
  </si>
  <si>
    <t>POD received from cell 0788915943 M</t>
  </si>
  <si>
    <t xml:space="preserve">FLYER                         </t>
  </si>
  <si>
    <t>FAUR1</t>
  </si>
  <si>
    <t>FAURE</t>
  </si>
  <si>
    <t xml:space="preserve">INDECON CC FIRGROVE                </t>
  </si>
  <si>
    <t>INDECON CC FIRGROVE</t>
  </si>
  <si>
    <t>A Nel</t>
  </si>
  <si>
    <t>POD received from cell 0673277989 M</t>
  </si>
  <si>
    <t>PORT3</t>
  </si>
  <si>
    <t>PORT ELIZABETH</t>
  </si>
  <si>
    <t xml:space="preserve">CLURE PROJECTS CC                  </t>
  </si>
  <si>
    <t>CLURE PROJECTS CC</t>
  </si>
  <si>
    <t>Nathan</t>
  </si>
  <si>
    <t>POD received from cell 0814739791 M</t>
  </si>
  <si>
    <t>BOX</t>
  </si>
  <si>
    <t>MALME</t>
  </si>
  <si>
    <t>MALMESBURY</t>
  </si>
  <si>
    <t xml:space="preserve">HYDROMATIC T A HEADLINE TRADIN     </t>
  </si>
  <si>
    <t>HYDROMATIC T A HEADLINE TRADIN</t>
  </si>
  <si>
    <t>mary</t>
  </si>
  <si>
    <t>Missed cutoff</t>
  </si>
  <si>
    <t>JUH</t>
  </si>
  <si>
    <t>POD received from cell 0650974645 M</t>
  </si>
  <si>
    <t>CAPET</t>
  </si>
  <si>
    <t>CAPE TOWN</t>
  </si>
  <si>
    <t xml:space="preserve">PRO PROJECT MACHINERY PTY LTD      </t>
  </si>
  <si>
    <t>PRO PROJECT MACHINERY PTY LTD</t>
  </si>
  <si>
    <t xml:space="preserve">Dreyer                        </t>
  </si>
  <si>
    <t>NGF</t>
  </si>
  <si>
    <t xml:space="preserve">POD received from cell 0612301350 M     </t>
  </si>
  <si>
    <t xml:space="preserve">BENTELER SOUTH AFRICA PTY LTD      </t>
  </si>
  <si>
    <t>BENTELER SOUTH AFRICA PTY LTD</t>
  </si>
  <si>
    <t>belloana</t>
  </si>
  <si>
    <t xml:space="preserve">BMG PINETOWN                       </t>
  </si>
  <si>
    <t>BMG PINETOWN</t>
  </si>
  <si>
    <t>signed</t>
  </si>
  <si>
    <t>BRONK</t>
  </si>
  <si>
    <t>BRONKHORSTSPRUIT</t>
  </si>
  <si>
    <t xml:space="preserve">SASOL DYNO NOBEL (PTY) LTD         </t>
  </si>
  <si>
    <t>SASOL DYNO NOBEL  PTY  LTD</t>
  </si>
  <si>
    <t>VUYO</t>
  </si>
  <si>
    <t>Consignee not available)</t>
  </si>
  <si>
    <t>jma</t>
  </si>
  <si>
    <t>JOHAN</t>
  </si>
  <si>
    <t>JOHANNESBURG</t>
  </si>
  <si>
    <t xml:space="preserve">BEARING MAN GROUP PTY LTD          </t>
  </si>
  <si>
    <t>BEARING MAN GROUP</t>
  </si>
  <si>
    <t>jabu</t>
  </si>
  <si>
    <t>nch</t>
  </si>
  <si>
    <t>POD received from cell 0836935442 M</t>
  </si>
  <si>
    <t xml:space="preserve">HACKMACK ENTERPRISES               </t>
  </si>
  <si>
    <t>HACKMACK ENTERPRISES</t>
  </si>
  <si>
    <t>jonathan</t>
  </si>
  <si>
    <t>Driver late</t>
  </si>
  <si>
    <t>NNS</t>
  </si>
  <si>
    <t>POD received from cell 0780568122 M</t>
  </si>
  <si>
    <t>PIET1</t>
  </si>
  <si>
    <t>PIETERMARITZBURG</t>
  </si>
  <si>
    <t xml:space="preserve">DIYA VALVES INTERNATIONAL CC P     </t>
  </si>
  <si>
    <t>DIYA VALVES INTERNATIONAL CC P</t>
  </si>
  <si>
    <t>Tim</t>
  </si>
  <si>
    <t>POD received from cell 0782274968 M</t>
  </si>
  <si>
    <t xml:space="preserve">BMG ISANDO 0165                    </t>
  </si>
  <si>
    <t>BMG ISANDO</t>
  </si>
  <si>
    <t>Rufus</t>
  </si>
  <si>
    <t>mmd</t>
  </si>
  <si>
    <t xml:space="preserve">PREMIER FMCG (PTY) LTD MILL        </t>
  </si>
  <si>
    <t>PREMIER FMCG  PTY  LTD MILL</t>
  </si>
  <si>
    <t>PHILANI</t>
  </si>
  <si>
    <t>POTCH</t>
  </si>
  <si>
    <t>POTCHEFSTROOM</t>
  </si>
  <si>
    <t xml:space="preserve">VESCOTECH                          </t>
  </si>
  <si>
    <t>VESCOTECH</t>
  </si>
  <si>
    <t>trymore</t>
  </si>
  <si>
    <t>POD received from cell 0737934317 M</t>
  </si>
  <si>
    <t>VERWO</t>
  </si>
  <si>
    <t>CENTURION</t>
  </si>
  <si>
    <t xml:space="preserve">NNOVATIVE AUTOMATION PTY LTD       </t>
  </si>
  <si>
    <t>NNOVATIVE AUTOMATION</t>
  </si>
  <si>
    <t>NICOLE</t>
  </si>
  <si>
    <t>0157</t>
  </si>
  <si>
    <t xml:space="preserve">CONTINENTAL TYRE SA SIDWELL        </t>
  </si>
  <si>
    <t>CONTINENTAL TYRE SA SIDWELL</t>
  </si>
  <si>
    <t xml:space="preserve">richard                       </t>
  </si>
  <si>
    <t xml:space="preserve">POD received from cell 0616223862 M     </t>
  </si>
  <si>
    <t>LICHT</t>
  </si>
  <si>
    <t>LICHTENBURG</t>
  </si>
  <si>
    <t xml:space="preserve">JAPIE GODFREY    VESCOTECH         </t>
  </si>
  <si>
    <t>JAPIE GODFREY    VESCOTECH</t>
  </si>
  <si>
    <t>JAPIE</t>
  </si>
  <si>
    <t>eric</t>
  </si>
  <si>
    <t>POD received from cell 0616223862 M</t>
  </si>
  <si>
    <t>Africa</t>
  </si>
  <si>
    <t xml:space="preserve">NJC MANUFACTURING (PTY) LTD        </t>
  </si>
  <si>
    <t>NJC MANUFACTURING  PTY  LTD</t>
  </si>
  <si>
    <t>Andrea</t>
  </si>
  <si>
    <t xml:space="preserve">PLASTIC                       </t>
  </si>
  <si>
    <t xml:space="preserve">NATIONAL PACKAGING SYSTEMS         </t>
  </si>
  <si>
    <t>NATIONAL PACKAGING SYSTEMS</t>
  </si>
  <si>
    <t>MOSES</t>
  </si>
  <si>
    <t xml:space="preserve">STAND BA                      </t>
  </si>
  <si>
    <t xml:space="preserve">FOODCORP (PTY) LTD T A SUNBAKE     </t>
  </si>
  <si>
    <t>FOODCORP  PTY  LTD T A SUNBAKE</t>
  </si>
  <si>
    <t>Redirect waybill on waybill nu</t>
  </si>
  <si>
    <t>Redirect waybill on waybill number R0800</t>
  </si>
  <si>
    <t xml:space="preserve">PNEUMATIC AID                      </t>
  </si>
  <si>
    <t>PNEUMATIC AID</t>
  </si>
  <si>
    <t>audrey</t>
  </si>
  <si>
    <t>UMHLA</t>
  </si>
  <si>
    <t>UMHLANGA ROCKS</t>
  </si>
  <si>
    <t xml:space="preserve">ILLOVO SUGAR SOUTH AFRICA (PTY     </t>
  </si>
  <si>
    <t>ILLOVO SUGAR SOUTH AFRICA  PTY</t>
  </si>
  <si>
    <t>kevin</t>
  </si>
  <si>
    <t>Late Linehaul Delayed Beyond Skynet Control</t>
  </si>
  <si>
    <t>col</t>
  </si>
  <si>
    <t>POD received from cell 0843672221 M</t>
  </si>
  <si>
    <t xml:space="preserve">COCA-COLA BEVERAGES SOUTH AFRI     </t>
  </si>
  <si>
    <t>COCA-COLA BEVERAGES SOUTH AFRI</t>
  </si>
  <si>
    <t>SIGNED</t>
  </si>
  <si>
    <t>DELMA</t>
  </si>
  <si>
    <t>DELMAS</t>
  </si>
  <si>
    <t xml:space="preserve">CSM BEARINGS   PNEUMATIC SUPPL     </t>
  </si>
  <si>
    <t>CSM BEARINGS   PNEUMATIC SUPPL</t>
  </si>
  <si>
    <t>Sammy</t>
  </si>
  <si>
    <t>POD received from cell 0715270557 M</t>
  </si>
  <si>
    <t xml:space="preserve">CSM ENGINEERING CC CENTURION       </t>
  </si>
  <si>
    <t>CSM ENGINEERING CC CENTURION</t>
  </si>
  <si>
    <t>ANDRE</t>
  </si>
  <si>
    <t xml:space="preserve">VICTORY ELECTRICAL CC MILNERTO     </t>
  </si>
  <si>
    <t>VICTORY ELECTRICAL CC MILNERTO</t>
  </si>
  <si>
    <t>sibusio</t>
  </si>
  <si>
    <t>POD received from cell 0738058187 M</t>
  </si>
  <si>
    <t>BOKSB</t>
  </si>
  <si>
    <t>BOKSBURG</t>
  </si>
  <si>
    <t xml:space="preserve">AFRILEK AUTOMATION PTY LTD         </t>
  </si>
  <si>
    <t>AFRILEK AUTOMATION PTY LTD</t>
  </si>
  <si>
    <t>Bad address</t>
  </si>
  <si>
    <t>SYSTEM</t>
  </si>
  <si>
    <t>FUE / DOC</t>
  </si>
  <si>
    <t>DESPA</t>
  </si>
  <si>
    <t>DESPATCH</t>
  </si>
  <si>
    <t xml:space="preserve">DKT   PARTNERS PTY LTD             </t>
  </si>
  <si>
    <t>DKT   PARTNERS PTY LTD</t>
  </si>
  <si>
    <t>priest</t>
  </si>
  <si>
    <t>POD received from cell 0711146140 M</t>
  </si>
  <si>
    <t>COOKH</t>
  </si>
  <si>
    <t>COOKHOUSE</t>
  </si>
  <si>
    <t xml:space="preserve">COOKHOUSE CREAMERY (PTY) LTD       </t>
  </si>
  <si>
    <t>COOKHOUSE CREAMERY  PTY  LTD</t>
  </si>
  <si>
    <t>AYABUKWO</t>
  </si>
  <si>
    <t>SASOL</t>
  </si>
  <si>
    <t>SASOLBURG</t>
  </si>
  <si>
    <t xml:space="preserve">COREL INSTRUMENTATION   CONTRO     </t>
  </si>
  <si>
    <t>COREL INSTRUMENTATION   CONTRO</t>
  </si>
  <si>
    <t>BENITA</t>
  </si>
  <si>
    <t>bmo</t>
  </si>
  <si>
    <t>UMKOM</t>
  </si>
  <si>
    <t>UMKOMAAS</t>
  </si>
  <si>
    <t xml:space="preserve">SAPPI GLOBAL BUSINESS SERVICES     </t>
  </si>
  <si>
    <t>SAPPI GLOBAL BUSINESS SERVICES</t>
  </si>
  <si>
    <t>JAMES</t>
  </si>
  <si>
    <t>lev</t>
  </si>
  <si>
    <t>BENON</t>
  </si>
  <si>
    <t>BENONI</t>
  </si>
  <si>
    <t xml:space="preserve">HIP SUPPLIERS PTY LTD              </t>
  </si>
  <si>
    <t>HIP SUPPLIERS PTY LTD</t>
  </si>
  <si>
    <t>Maria</t>
  </si>
  <si>
    <t>amt</t>
  </si>
  <si>
    <t>POD received from cell 0682118246 M</t>
  </si>
  <si>
    <t>PRETO</t>
  </si>
  <si>
    <t>PRETORIA</t>
  </si>
  <si>
    <t xml:space="preserve">BMW SOUTH AFRICA                   </t>
  </si>
  <si>
    <t>BMW</t>
  </si>
  <si>
    <t>JOHN</t>
  </si>
  <si>
    <t>0200</t>
  </si>
  <si>
    <t xml:space="preserve">RCL FOODS CONSUMER                 </t>
  </si>
  <si>
    <t>RCL FOODS CONSUMER</t>
  </si>
  <si>
    <t>sthe</t>
  </si>
  <si>
    <t>POD received from cell 0827869932 M</t>
  </si>
  <si>
    <t xml:space="preserve">S4 INTEGRATION PTY LTD             </t>
  </si>
  <si>
    <t>S4 INTEGRATION PTY LTD</t>
  </si>
  <si>
    <t>Ayanda</t>
  </si>
  <si>
    <t>POD received from cell 0684745132 M</t>
  </si>
  <si>
    <t xml:space="preserve">DANONE SOUTHERN AFRICA PTY LTD     </t>
  </si>
  <si>
    <t>DANONE SOUTHERN AFRICA PTY LTD</t>
  </si>
  <si>
    <t>philiphine</t>
  </si>
  <si>
    <t>POD received from cell 0840403522 M</t>
  </si>
  <si>
    <t xml:space="preserve">UNILEVER SOUTH AFRICA (PTY) LT     </t>
  </si>
  <si>
    <t>UNILEVER SOUTH AFRICA  PTY  LT</t>
  </si>
  <si>
    <t>PHINDA</t>
  </si>
  <si>
    <t>POD received from cell 0661437222 M</t>
  </si>
  <si>
    <t xml:space="preserve">SHATTERPRUFE TRADING AS A DIV      </t>
  </si>
  <si>
    <t>SHATTERPRUFE TRADING AS A DIV</t>
  </si>
  <si>
    <t>Sonelah</t>
  </si>
  <si>
    <t>POD received from cell 0658421544 M</t>
  </si>
  <si>
    <t xml:space="preserve">AECI MINING LTD                    </t>
  </si>
  <si>
    <t>AECI MINING LTD    STEFANIE GR</t>
  </si>
  <si>
    <t>charles</t>
  </si>
  <si>
    <t>POD received from cell 0767638493 M</t>
  </si>
  <si>
    <t>MOSSE</t>
  </si>
  <si>
    <t>MOSSEL BAY</t>
  </si>
  <si>
    <t xml:space="preserve">CSM BEARINGS   PNEUMATICS MOSS     </t>
  </si>
  <si>
    <t>CSM BEARINGS   PNEUMATICS MOSS</t>
  </si>
  <si>
    <t>SANTIE</t>
  </si>
  <si>
    <t xml:space="preserve">ANALOG   DIGITAL POWER ELECTRO     </t>
  </si>
  <si>
    <t>ANALOG   DIGITAL POWER ELECTRO</t>
  </si>
  <si>
    <t>Amanda</t>
  </si>
  <si>
    <t>ON2</t>
  </si>
  <si>
    <t>tumelo</t>
  </si>
  <si>
    <t xml:space="preserve">ROBOTIC HANDLING SYSTEMS CC        </t>
  </si>
  <si>
    <t>ROBOTIC HANDLING SYSTEMS CC</t>
  </si>
  <si>
    <t>Demetri</t>
  </si>
  <si>
    <t>jlc</t>
  </si>
  <si>
    <t>POD received from cell 0746644640 M</t>
  </si>
  <si>
    <t xml:space="preserve">LAMBDA AUTOMATION (PTY) LTD        </t>
  </si>
  <si>
    <t>LAMBDA AUTOMATION  PTY  LTD</t>
  </si>
  <si>
    <t>SAMMY</t>
  </si>
  <si>
    <t>0002</t>
  </si>
  <si>
    <t>HEID2</t>
  </si>
  <si>
    <t>HEIDELBERG (TVL)</t>
  </si>
  <si>
    <t xml:space="preserve">KARAN BEEF FARMING PTY LTD         </t>
  </si>
  <si>
    <t>KARAN BEEF FARMING PTY LTD</t>
  </si>
  <si>
    <t>thandi</t>
  </si>
  <si>
    <t>POD received from cell 0751236651 M</t>
  </si>
  <si>
    <t xml:space="preserve">MAHLE BEHR SOUTH AFRICA PTY LT     </t>
  </si>
  <si>
    <t>MAHLE BEHR S.A</t>
  </si>
  <si>
    <t>andile</t>
  </si>
  <si>
    <t>richard</t>
  </si>
  <si>
    <t>1FLYER</t>
  </si>
  <si>
    <t xml:space="preserve">NATIONAL BRANDS BISCUITS   SNA     </t>
  </si>
  <si>
    <t>NATIONAL BRANDS BIS SNK</t>
  </si>
  <si>
    <t>NELLIS</t>
  </si>
  <si>
    <t>POD received from cell 0679620868 M</t>
  </si>
  <si>
    <t>VANDE</t>
  </si>
  <si>
    <t>VANDERBIJLPARK</t>
  </si>
  <si>
    <t xml:space="preserve">CAPE GATE (PTY) LTD                </t>
  </si>
  <si>
    <t>CAPE GATE  PTY  LTD</t>
  </si>
  <si>
    <t>LESHORO</t>
  </si>
  <si>
    <t>AMANZ</t>
  </si>
  <si>
    <t>AMANZIMTOTI</t>
  </si>
  <si>
    <t>SHANE</t>
  </si>
  <si>
    <t>STEL2</t>
  </si>
  <si>
    <t>STELLENBOSCH</t>
  </si>
  <si>
    <t xml:space="preserve">TF DESIGN PTY LTD                  </t>
  </si>
  <si>
    <t>TF DESIGN</t>
  </si>
  <si>
    <t>DIVAAN</t>
  </si>
  <si>
    <t xml:space="preserve">WOOL TESTING BUREAU S.A            </t>
  </si>
  <si>
    <t>WOOL TESTING BUREAU S.A</t>
  </si>
  <si>
    <t>J Francis</t>
  </si>
  <si>
    <t>POD received from cell 0634843728 M</t>
  </si>
  <si>
    <t xml:space="preserve">BMG EAST LONDON                    </t>
  </si>
  <si>
    <t>BMG EAST LONDON</t>
  </si>
  <si>
    <t xml:space="preserve">NATIONAL BRANDS BIS SNK DIV BI     </t>
  </si>
  <si>
    <t>NATIONAL BRANDS BIS SNK DIV</t>
  </si>
  <si>
    <t>Joseph</t>
  </si>
  <si>
    <t>POD received from cell 0648280087 M</t>
  </si>
  <si>
    <t>BRIT1</t>
  </si>
  <si>
    <t>BRITS</t>
  </si>
  <si>
    <t xml:space="preserve">KROMBERG   SCHUBERT CABLE   WI     </t>
  </si>
  <si>
    <t>KROMBERG   SCHUBERT CABLE   WI</t>
  </si>
  <si>
    <t>Aaron</t>
  </si>
  <si>
    <t>POD received from cell 0790934153 M</t>
  </si>
  <si>
    <t>0250</t>
  </si>
  <si>
    <t xml:space="preserve">TONGAAT HULLETT LIMITED T A TO     </t>
  </si>
  <si>
    <t>TONGAAT HULLETT LIMITED T A TO</t>
  </si>
  <si>
    <t>noma</t>
  </si>
  <si>
    <t>ROODE</t>
  </si>
  <si>
    <t>ROODEPOORT</t>
  </si>
  <si>
    <t xml:space="preserve">LIQUID MIST TRADING 116 (PTY)      </t>
  </si>
  <si>
    <t>LIQUID MIST TRADING 116  PTY</t>
  </si>
  <si>
    <t>botha</t>
  </si>
  <si>
    <t>doc</t>
  </si>
  <si>
    <t>POD received from cell 0656953539 M</t>
  </si>
  <si>
    <t xml:space="preserve">EVEREST CORRUGATED (PTY) LTD       </t>
  </si>
  <si>
    <t>EVEREST CORRUGATED  PTY  LTD</t>
  </si>
  <si>
    <t>Credence</t>
  </si>
  <si>
    <t>POD received from cell 0834177790 M</t>
  </si>
  <si>
    <t xml:space="preserve">ADCOCK INGRAM CRITICAL CARE PT     </t>
  </si>
  <si>
    <t>ADCOCK INGRAM CRITICAL CARE PT</t>
  </si>
  <si>
    <t xml:space="preserve">Boikie                        </t>
  </si>
  <si>
    <t xml:space="preserve">POD received from cell 0834177790 M     </t>
  </si>
  <si>
    <t xml:space="preserve">RAPID INDUSTRIAL SUPPLIES          </t>
  </si>
  <si>
    <t>RAPID INDUSTRIAL SUPPLIES</t>
  </si>
  <si>
    <t>TSHEPO</t>
  </si>
  <si>
    <t>POD received from cell 0839573774 M</t>
  </si>
  <si>
    <t>TZANE</t>
  </si>
  <si>
    <t>TZANEEN</t>
  </si>
  <si>
    <t xml:space="preserve">MERENSKY TIMBER PTY LTD T A NO     </t>
  </si>
  <si>
    <t>MERENSKY TIMBER PTY LTD T A NO</t>
  </si>
  <si>
    <t>Annie</t>
  </si>
  <si>
    <t>POD received from cell 0721205889 M</t>
  </si>
  <si>
    <t>0850</t>
  </si>
  <si>
    <t xml:space="preserve">CSM BEARING   PNEUMATIC SUP (P     </t>
  </si>
  <si>
    <t>CSM BEARING   PNEUMATIC SUP  P</t>
  </si>
  <si>
    <t>ALICIA</t>
  </si>
  <si>
    <t xml:space="preserve">TRANSNET ENGINEERING-KOEDOESPO     </t>
  </si>
  <si>
    <t>TRANSNET ENGINEERING-KOEDOESPO</t>
  </si>
  <si>
    <t xml:space="preserve">ALANA NELL                    </t>
  </si>
  <si>
    <t>pim</t>
  </si>
  <si>
    <t xml:space="preserve">                                        </t>
  </si>
  <si>
    <t>0184</t>
  </si>
  <si>
    <t xml:space="preserve">CIM AUTOMATION PTY LTD MONTAGU     </t>
  </si>
  <si>
    <t>CIM AUTOMATION PTY LTD MONTAGU</t>
  </si>
  <si>
    <t>JARELLE</t>
  </si>
  <si>
    <t>HOWIC</t>
  </si>
  <si>
    <t>HOWICK</t>
  </si>
  <si>
    <t xml:space="preserve">FAIRFIELD DAIRY PTY LTD            </t>
  </si>
  <si>
    <t>FAIRFIELD DAIRY PTY LTD</t>
  </si>
  <si>
    <t xml:space="preserve">bandile                       </t>
  </si>
  <si>
    <t xml:space="preserve">POD received from cell 0633530723 M     </t>
  </si>
  <si>
    <t xml:space="preserve">BMG BELLVILLE (PTY) LTD 0120       </t>
  </si>
  <si>
    <t>BMG BELLVILLE  PTY  LTD 0120</t>
  </si>
  <si>
    <t>Mark</t>
  </si>
  <si>
    <t xml:space="preserve">ASTRATEK PROJECTS (PTY) LTD BE     </t>
  </si>
  <si>
    <t>ASTRATEK PROJECTS  PTY  LTD BE</t>
  </si>
  <si>
    <t xml:space="preserve">Athenkosi                     </t>
  </si>
  <si>
    <t>Emmanuel</t>
  </si>
  <si>
    <t xml:space="preserve">1FLYER                        </t>
  </si>
  <si>
    <t xml:space="preserve">AFRISAM SOUTH AFRICA (PTY) LTD     </t>
  </si>
  <si>
    <t>AFRISAM SOUTH AFRICA  PTY  LTD</t>
  </si>
  <si>
    <t>steve</t>
  </si>
  <si>
    <t xml:space="preserve">DR OETKER SOUTH AFRICA PTY LTD     </t>
  </si>
  <si>
    <t>DR OETKER SOUTH AFRICA PTY LTD</t>
  </si>
  <si>
    <t>petronnella</t>
  </si>
  <si>
    <t>POD received from cell 0825419099 M</t>
  </si>
  <si>
    <t>SOME2</t>
  </si>
  <si>
    <t>SOMERSET WEST</t>
  </si>
  <si>
    <t xml:space="preserve">GOSSAMER STRUCTURES LTD            </t>
  </si>
  <si>
    <t>GOSSAMER STRUCTURES LTD</t>
  </si>
  <si>
    <t>janine</t>
  </si>
  <si>
    <t>POD received from cell 0622930487 M</t>
  </si>
  <si>
    <t>M Naidoo</t>
  </si>
  <si>
    <t>GERMI</t>
  </si>
  <si>
    <t>GERMISTON</t>
  </si>
  <si>
    <t xml:space="preserve">ABF SUGAR (PTY) LTD- NCHALO ME     </t>
  </si>
  <si>
    <t>ABF SUGAR  PTY  LTD- NCHALO ME</t>
  </si>
  <si>
    <t>sig</t>
  </si>
  <si>
    <t xml:space="preserve">KIMBERLY-CLARK S.A VENDOR: 100     </t>
  </si>
  <si>
    <t>KIMBERLY-CLARK S.A VENDOR  100</t>
  </si>
  <si>
    <t>N Mapipa</t>
  </si>
  <si>
    <t>POD received from cell 0659386993 M</t>
  </si>
  <si>
    <t xml:space="preserve">CULINARY  A DIVISION OF TIGER      </t>
  </si>
  <si>
    <t>CULINARY  A DIVISION OF TIGER</t>
  </si>
  <si>
    <t>Rudolph</t>
  </si>
  <si>
    <t xml:space="preserve">BRADCHER INDUSTRIAL WHOLESALER     </t>
  </si>
  <si>
    <t>BRADCHER  INDUSTRIAL WHOLESALE</t>
  </si>
  <si>
    <t>Vusi</t>
  </si>
  <si>
    <t>Shane</t>
  </si>
  <si>
    <t>POD received from cell 0858359675 M</t>
  </si>
  <si>
    <t>VEREE</t>
  </si>
  <si>
    <t>VEREENIGING</t>
  </si>
  <si>
    <t xml:space="preserve">NEW STYLE PORK (PTY) LTD T A L     </t>
  </si>
  <si>
    <t>NEW STYLE PORK  PTY  LTD T A L</t>
  </si>
  <si>
    <t xml:space="preserve">PUREM PORT ELIZABETH               </t>
  </si>
  <si>
    <t>PUREM PORT ELIZABETH</t>
  </si>
  <si>
    <t>lance</t>
  </si>
  <si>
    <t>POD received from cell 0644881838 M</t>
  </si>
  <si>
    <t xml:space="preserve">TM ENGINEERING                     </t>
  </si>
  <si>
    <t>TM ENGINEERING</t>
  </si>
  <si>
    <t>Taznyn</t>
  </si>
  <si>
    <t>POD received from cell 0767510913 M</t>
  </si>
  <si>
    <t xml:space="preserve">ILLOVO SUGAR                       </t>
  </si>
  <si>
    <t>ILLOVO SUGAR</t>
  </si>
  <si>
    <t>patrick</t>
  </si>
  <si>
    <t>POD received from cell 0787647917 M</t>
  </si>
  <si>
    <t xml:space="preserve">AMSN INDUSTRIAL SUPPLIES (PTY)     </t>
  </si>
  <si>
    <t>AMSN INDUSTRIAL SUPPLIES  PTY</t>
  </si>
  <si>
    <t>?</t>
  </si>
  <si>
    <t xml:space="preserve">BENITA                        </t>
  </si>
  <si>
    <t>SPRI3</t>
  </si>
  <si>
    <t>SPRINGS</t>
  </si>
  <si>
    <t xml:space="preserve">HUHTAMAKI DIV FLEXIBLE             </t>
  </si>
  <si>
    <t>HUHTAMAKI DIV FLEXIBLE</t>
  </si>
  <si>
    <t>thulani</t>
  </si>
  <si>
    <t>POD received from cell 0715155602 M</t>
  </si>
  <si>
    <t xml:space="preserve">ARDAGH GLASS PACKAGING             </t>
  </si>
  <si>
    <t>ARDAGH GLASS PACKAGING</t>
  </si>
  <si>
    <t xml:space="preserve">Jason                         </t>
  </si>
  <si>
    <t xml:space="preserve">KRONES SOUTH AFRICA PTY LTD LA     </t>
  </si>
  <si>
    <t>KRONES SOUTH AFRICA PTY LTD LA</t>
  </si>
  <si>
    <t>MARINA</t>
  </si>
  <si>
    <t>TES</t>
  </si>
  <si>
    <t>HUMAN</t>
  </si>
  <si>
    <t>HUMANSDORP</t>
  </si>
  <si>
    <t xml:space="preserve">WOODLANDS DAIRY PTY LTD HUMANS     </t>
  </si>
  <si>
    <t>WOODLANDS DAIRY PTY LTD HUMANS</t>
  </si>
  <si>
    <t>Evan</t>
  </si>
  <si>
    <t>POD received from cell 0694933966 M</t>
  </si>
  <si>
    <t xml:space="preserve">DIVFOOD A DIV OF NAMPAK PRODUC     </t>
  </si>
  <si>
    <t>DIVFOOD A DIV OF NAMPAK PRODUC</t>
  </si>
  <si>
    <t>PANCHO</t>
  </si>
  <si>
    <t>MARCELL</t>
  </si>
  <si>
    <t xml:space="preserve">SOUTHERN SERVICES CC               </t>
  </si>
  <si>
    <t>SOUTHERN SERVICES CC</t>
  </si>
  <si>
    <t>ALNICK</t>
  </si>
  <si>
    <t>HAMMA</t>
  </si>
  <si>
    <t>HAMMANSKRAAL</t>
  </si>
  <si>
    <t xml:space="preserve">SHATTERPRUFE TRADING DIVISION      </t>
  </si>
  <si>
    <t>SHATTERPRUFE TRADING DIVISION</t>
  </si>
  <si>
    <t>KEA KOPANYE</t>
  </si>
  <si>
    <t>POD</t>
  </si>
  <si>
    <t>0221</t>
  </si>
  <si>
    <t>PAARL</t>
  </si>
  <si>
    <t xml:space="preserve">CULINARY A DIV OF TIGER CONSUM     </t>
  </si>
  <si>
    <t>CULINARY A DIV OF TIGER CONSUM</t>
  </si>
  <si>
    <t>Noluvuyo</t>
  </si>
  <si>
    <t>POD received from cell 0671392487 M</t>
  </si>
  <si>
    <t xml:space="preserve">FEDERAL MOGUL ENGINE BEARINGS      </t>
  </si>
  <si>
    <t>FEDERAL MOGUL ENGINE BEARINGS</t>
  </si>
  <si>
    <t>Makayla</t>
  </si>
  <si>
    <t xml:space="preserve">ARDAGH GLASS PACKAGING SOUTH A     </t>
  </si>
  <si>
    <t>ARDAGH GLASS PACKAGING SOUTH A</t>
  </si>
  <si>
    <t>elijah</t>
  </si>
  <si>
    <t xml:space="preserve">CYLINDER                      </t>
  </si>
  <si>
    <t>AFRIKA</t>
  </si>
  <si>
    <t>SECUN</t>
  </si>
  <si>
    <t>SECUNDA</t>
  </si>
  <si>
    <t xml:space="preserve">SASOL SYNFUELS VAT REG: 438010     </t>
  </si>
  <si>
    <t>SASOL SYNFUELS VAT REG  438010</t>
  </si>
  <si>
    <t>GIFTY</t>
  </si>
  <si>
    <t xml:space="preserve">EMENEM INDUSTRIAL CC               </t>
  </si>
  <si>
    <t>EMENEM INDUSTRIAL CC</t>
  </si>
  <si>
    <t>LEROY</t>
  </si>
  <si>
    <t xml:space="preserve">H.G MOLENAAR (PTY) LTD             </t>
  </si>
  <si>
    <t>H.G MOLENAAR  PTY  LTD</t>
  </si>
  <si>
    <t>Gavin</t>
  </si>
  <si>
    <t xml:space="preserve">POLAR ICE CREAM EPPING INDUSTR     </t>
  </si>
  <si>
    <t>POLAR ICE CREAM EPPING INDUSTR</t>
  </si>
  <si>
    <t>Chelsey</t>
  </si>
  <si>
    <t>WESTO</t>
  </si>
  <si>
    <t>WESTONARIA</t>
  </si>
  <si>
    <t xml:space="preserve">SOUTH DEEP GOLD MINE (PTY) LTD     </t>
  </si>
  <si>
    <t>SOUTH DEEP GOLD MINE  PTY  LTD</t>
  </si>
  <si>
    <t>livhuwani</t>
  </si>
  <si>
    <t xml:space="preserve">PALLET                        </t>
  </si>
  <si>
    <t xml:space="preserve">APEX AUTOMATION (PTY) LTD BRAS     </t>
  </si>
  <si>
    <t>APEX AUTOMATION  PTY  LTD BRAS</t>
  </si>
  <si>
    <t>johan</t>
  </si>
  <si>
    <t>POD received from cell 0608702785 M</t>
  </si>
  <si>
    <t xml:space="preserve">HMF TECHNOLOGIES (PTY) LTD         </t>
  </si>
  <si>
    <t>HMF TECHNOLOGIES  PTY  LTD</t>
  </si>
  <si>
    <t>LETISIA</t>
  </si>
  <si>
    <t>ALBE2</t>
  </si>
  <si>
    <t>ALBERTON</t>
  </si>
  <si>
    <t xml:space="preserve">MAXION WHEELS SOUTH AFRICA PTY     </t>
  </si>
  <si>
    <t>MAXION WHEELS SOUTH AFRICA PTY</t>
  </si>
  <si>
    <t>NTOKOZO</t>
  </si>
  <si>
    <t>POD received from cell 0647581272 M</t>
  </si>
  <si>
    <t xml:space="preserve">BRIDGESTONE FIRESTONE              </t>
  </si>
  <si>
    <t>BRIDGESTONE FIRESTONE</t>
  </si>
  <si>
    <t>Esther</t>
  </si>
  <si>
    <t xml:space="preserve">ZF LEMFOTDER SA LTD                </t>
  </si>
  <si>
    <t>ZF LEMFOTDER SA LTD</t>
  </si>
  <si>
    <t>busiswa</t>
  </si>
  <si>
    <t xml:space="preserve">JENDAMARK AUTOMATION PTY LTD P     </t>
  </si>
  <si>
    <t>JENDAMARK AUTOMATION PTY LTD P</t>
  </si>
  <si>
    <t>kezley</t>
  </si>
  <si>
    <t xml:space="preserve">FORD MOTORING CO OF SA SIMON V     </t>
  </si>
  <si>
    <t>FORD MOTORING CO OF SA SIMON V</t>
  </si>
  <si>
    <t xml:space="preserve">MOLOTO                        </t>
  </si>
  <si>
    <t>ppm</t>
  </si>
  <si>
    <t xml:space="preserve">RCL GROUP SERVICES (PTY) LTD P     </t>
  </si>
  <si>
    <t>RCL GROUP SERVICES  PTY  LTD P</t>
  </si>
  <si>
    <t>RAKALE</t>
  </si>
  <si>
    <t>0183</t>
  </si>
  <si>
    <t xml:space="preserve">PAKPAL (PTY) LTD BRONKHORSTSTP     </t>
  </si>
  <si>
    <t>PAKPAL  PTY  LTD BRONKHORSTSTP</t>
  </si>
  <si>
    <t>JALENE</t>
  </si>
  <si>
    <t xml:space="preserve">Hydraquip                          </t>
  </si>
  <si>
    <t xml:space="preserve">FESTO                              </t>
  </si>
  <si>
    <t>GIFT</t>
  </si>
  <si>
    <t>Ryno Leo</t>
  </si>
  <si>
    <t>robby</t>
  </si>
  <si>
    <t>POD received from cell 0606520943 M</t>
  </si>
  <si>
    <t>PARCEL</t>
  </si>
  <si>
    <t xml:space="preserve">ROYAL KAAK (PTY) LTD FAIRVIEW      </t>
  </si>
  <si>
    <t>ROYAL KAAK  PTY  LTD FAIRVIEW</t>
  </si>
  <si>
    <t>Keenan</t>
  </si>
  <si>
    <t>shaakir</t>
  </si>
  <si>
    <t>WORCE</t>
  </si>
  <si>
    <t>WORCESTER</t>
  </si>
  <si>
    <t xml:space="preserve">RCL FOODS CONSUMER (PTY) LTD M     </t>
  </si>
  <si>
    <t>RCL FOODS CONSUMER  PTY  LTD M</t>
  </si>
  <si>
    <t>Medwin</t>
  </si>
  <si>
    <t>POD received from cell 0786786237 M</t>
  </si>
  <si>
    <t xml:space="preserve">BASF CATALYST SOUTH AFRICA PTY     </t>
  </si>
  <si>
    <t>BASF CATALYST SOUTH AFRICA PTY</t>
  </si>
  <si>
    <t>Elize</t>
  </si>
  <si>
    <t>Ronald</t>
  </si>
  <si>
    <t>Outlying delivery location</t>
  </si>
  <si>
    <t>yca</t>
  </si>
  <si>
    <t>bulelwa</t>
  </si>
  <si>
    <t>JACO1</t>
  </si>
  <si>
    <t>JACOBS</t>
  </si>
  <si>
    <t xml:space="preserve">TROPIC PLASTIC   PACKAGING LTD     </t>
  </si>
  <si>
    <t>TROPIC PLASTIC   PACKAGING LTD</t>
  </si>
  <si>
    <t>abbas</t>
  </si>
  <si>
    <t>POD received from cell 0670029554 M</t>
  </si>
  <si>
    <t xml:space="preserve">K.K. SHELVING (PTY) LTD            </t>
  </si>
  <si>
    <t>K.K. SHELVING  PTY  LTD</t>
  </si>
  <si>
    <t>henry</t>
  </si>
  <si>
    <t xml:space="preserve">FESTO CAPE TOWN OFFICE             </t>
  </si>
  <si>
    <t>FESTO CAPE TOWN OFFICE</t>
  </si>
  <si>
    <t>adrian</t>
  </si>
  <si>
    <t xml:space="preserve">CONTINENTAL TYRE SA PTY LTD SI     </t>
  </si>
  <si>
    <t>CONTINENTAL TYRE SA PTY LTD SI</t>
  </si>
  <si>
    <t>kabelo mashigo</t>
  </si>
  <si>
    <t>mdm</t>
  </si>
  <si>
    <t>POD received from cell 0824012638 M</t>
  </si>
  <si>
    <t xml:space="preserve">MPACT OPERATIONS (PTY) LTD VEN     </t>
  </si>
  <si>
    <t>MPACT OPERATIONS  PTY  LTD VEN</t>
  </si>
  <si>
    <t>Vincent</t>
  </si>
  <si>
    <t>EMPAN</t>
  </si>
  <si>
    <t>EMPANGENI</t>
  </si>
  <si>
    <t xml:space="preserve">MPACT FELIXTON MILL                </t>
  </si>
  <si>
    <t>MPACT FELIXTON MILL</t>
  </si>
  <si>
    <t>ntombela</t>
  </si>
  <si>
    <t>POD received from cell 0670888210 M</t>
  </si>
  <si>
    <t xml:space="preserve">MA AUTOMOTIVE TOOL   DIE  (PTY     </t>
  </si>
  <si>
    <t>MA AUTOMOTIVE TOOL   DIE   PTY</t>
  </si>
  <si>
    <t>KEITUMETSE</t>
  </si>
  <si>
    <t xml:space="preserve">BOX:CONT                      </t>
  </si>
  <si>
    <t>DIYAAN</t>
  </si>
  <si>
    <t xml:space="preserve">RCL FOODS CONSUMER (PTY) LTD F     </t>
  </si>
  <si>
    <t>RCL FOODS CONSUMER  PTY  LTD F</t>
  </si>
  <si>
    <t xml:space="preserve">HEINEKEN BEVERAGES SA PTY LTD      </t>
  </si>
  <si>
    <t>HEINEKEN BEVERAGES SA PTY LTD</t>
  </si>
  <si>
    <t>FERNANDO</t>
  </si>
  <si>
    <t xml:space="preserve">TRUDA FOODS                        </t>
  </si>
  <si>
    <t>TRUDA FOODS</t>
  </si>
  <si>
    <t>REINESS</t>
  </si>
  <si>
    <t>0083</t>
  </si>
  <si>
    <t xml:space="preserve">CHW DESIGN CC DURBANVILLE          </t>
  </si>
  <si>
    <t>CHW DESIGN CC DURBANVILLE</t>
  </si>
  <si>
    <t>shida</t>
  </si>
  <si>
    <t>POD received from cell 0842084217 M</t>
  </si>
  <si>
    <t>STAND BA</t>
  </si>
  <si>
    <t xml:space="preserve">RFG FOODS (PTY) LTD                </t>
  </si>
  <si>
    <t>RFG FOODS  PTY  LTD  ATTN  RIV</t>
  </si>
  <si>
    <t>palesa</t>
  </si>
  <si>
    <t>POD received from cell 0715414711 M</t>
  </si>
  <si>
    <t>NTOMBELA</t>
  </si>
  <si>
    <t xml:space="preserve">AUTO X PTY LTD                     </t>
  </si>
  <si>
    <t>AUTO X PTY LTD</t>
  </si>
  <si>
    <t>Alex</t>
  </si>
  <si>
    <t xml:space="preserve">NAMPAK PRODUCTS LTD T A BEVCAN     </t>
  </si>
  <si>
    <t>NAMPAK PRODUCTS</t>
  </si>
  <si>
    <t>Katlego</t>
  </si>
  <si>
    <t>POD received from cell 0682194514 M</t>
  </si>
  <si>
    <t xml:space="preserve">itumeleng                     </t>
  </si>
  <si>
    <t xml:space="preserve">POD received from cell 0737934317 M     </t>
  </si>
  <si>
    <t xml:space="preserve">DALE AUTOMATION PTY LTD            </t>
  </si>
  <si>
    <t>DALE AUTOMATION PTY LTD</t>
  </si>
  <si>
    <t xml:space="preserve">marno                         </t>
  </si>
  <si>
    <t xml:space="preserve">POD received from cell 0722478975 M     </t>
  </si>
  <si>
    <t xml:space="preserve">FRESENIUS KABI MANUFACTURING       </t>
  </si>
  <si>
    <t>FRESENIUS KABI MANUFACTURING</t>
  </si>
  <si>
    <t>UAT</t>
  </si>
  <si>
    <t>Somabili</t>
  </si>
  <si>
    <t>RANDF</t>
  </si>
  <si>
    <t>RANDFONTEIN</t>
  </si>
  <si>
    <t xml:space="preserve">RCL GROUP SERVICES (PTY) LTD       </t>
  </si>
  <si>
    <t>RCL GROUP SERVICES  PTY  LTD</t>
  </si>
  <si>
    <t>super</t>
  </si>
  <si>
    <t>POD received from cell 0679017498 M</t>
  </si>
  <si>
    <t>NIGEL</t>
  </si>
  <si>
    <t xml:space="preserve">Tumelo                        </t>
  </si>
  <si>
    <t>ATH</t>
  </si>
  <si>
    <t xml:space="preserve">POD received from cell 0636621831 M     </t>
  </si>
  <si>
    <t xml:space="preserve">QUALIPAK (PTY) LTD                 </t>
  </si>
  <si>
    <t>QUALIPAK  PTY  LTD</t>
  </si>
  <si>
    <t>Jamie</t>
  </si>
  <si>
    <t xml:space="preserve">FREDDY HIRSCH   CO MONTAGUE GA     </t>
  </si>
  <si>
    <t>FREDDY HIRSCH   CO MONTAGUE GA</t>
  </si>
  <si>
    <t>naz</t>
  </si>
  <si>
    <t xml:space="preserve">SCHAEFFLER SOUTH AFRICA (PTY)      </t>
  </si>
  <si>
    <t>SCHAEFFLER SOUTH AFRICA  PTY</t>
  </si>
  <si>
    <t>nubise</t>
  </si>
  <si>
    <t>bandile</t>
  </si>
  <si>
    <t>POD received from cell 0633530723 M</t>
  </si>
  <si>
    <t>BURG1</t>
  </si>
  <si>
    <t>BURGERSFORT</t>
  </si>
  <si>
    <t xml:space="preserve">CONTROL SYSTEMS STEELPOORT CC      </t>
  </si>
  <si>
    <t>CONTROL SYSTEMS STEELPOORT CC</t>
  </si>
  <si>
    <t>Brenda</t>
  </si>
  <si>
    <t>POD received from cell 0716361725 M</t>
  </si>
  <si>
    <t xml:space="preserve">BLAIZEPOINT TRADING 274 CC T A     </t>
  </si>
  <si>
    <t>BLAIZEPOINT TRADING 274 CC T A</t>
  </si>
  <si>
    <t>nazeel</t>
  </si>
  <si>
    <t>Late linehaul</t>
  </si>
  <si>
    <t>Dakalo</t>
  </si>
  <si>
    <t xml:space="preserve">ARDAGH GLASS PACKAGING  SA PTY     </t>
  </si>
  <si>
    <t>ARDAGH GLASS PACKAGING  SA PTY</t>
  </si>
  <si>
    <t>Gerald</t>
  </si>
  <si>
    <t>POD received from cell 0606746779 M</t>
  </si>
  <si>
    <t xml:space="preserve">TENNECO RIDE CONTROL SA (PTY)      </t>
  </si>
  <si>
    <t>TENNECO RIDE CONTROL SA  PTY</t>
  </si>
  <si>
    <t>pumla</t>
  </si>
  <si>
    <t>FUE / doc</t>
  </si>
  <si>
    <t>SHIFT MANAGER</t>
  </si>
  <si>
    <t>HND / DOC / DOC / FUE / INS</t>
  </si>
  <si>
    <t>FES CUST 20251202 51 - BACK TO CUSTOMER</t>
  </si>
  <si>
    <t xml:space="preserve">CEREBOS LTD                        </t>
  </si>
  <si>
    <t>CEREBOS LTD</t>
  </si>
  <si>
    <t>DOC / DOC / FUE / INS</t>
  </si>
  <si>
    <t xml:space="preserve">HEINEKEN BEVERAGES SA (PTY) LT     </t>
  </si>
  <si>
    <t>HEINEKEN BEVERAGES SA  PTY  LT</t>
  </si>
  <si>
    <t>Ronwyn</t>
  </si>
  <si>
    <t xml:space="preserve">UNILEVER SA PHOENIX AEROSOL        </t>
  </si>
  <si>
    <t>UNILEVER SA PHOENIX AEROSOL</t>
  </si>
  <si>
    <t>myeka</t>
  </si>
  <si>
    <t>zanele</t>
  </si>
  <si>
    <t>POD received from cell 0692632913 M</t>
  </si>
  <si>
    <t xml:space="preserve">TIGER BRANDS SNACKS  TREATS PH     </t>
  </si>
  <si>
    <t>TIGER BRANDS SNACKS  TREATS PH</t>
  </si>
  <si>
    <t>awena</t>
  </si>
  <si>
    <t xml:space="preserve">ACEPAK PACKAGING SYSTEMS           </t>
  </si>
  <si>
    <t>ACEPAK PACKAGING SYSTEMS</t>
  </si>
  <si>
    <t>Warrick</t>
  </si>
  <si>
    <t xml:space="preserve">ELEMENT SIX (PRODUCTION)           </t>
  </si>
  <si>
    <t>ELEMENT SIX</t>
  </si>
  <si>
    <t>Paulos</t>
  </si>
  <si>
    <t>RICH2</t>
  </si>
  <si>
    <t>RICHMOND (NATAL)</t>
  </si>
  <si>
    <t xml:space="preserve">NORMANDIEN FARMS PTY LTD           </t>
  </si>
  <si>
    <t>NORMANDIEN</t>
  </si>
  <si>
    <t>Rochele</t>
  </si>
  <si>
    <t xml:space="preserve">BOX: CON                      </t>
  </si>
  <si>
    <t>bongani</t>
  </si>
  <si>
    <t>Elijah</t>
  </si>
  <si>
    <t>POD received from cell 0833616148 M</t>
  </si>
  <si>
    <t xml:space="preserve">AFRILEK AUTOMATION (PTY) LTD E     </t>
  </si>
  <si>
    <t>AFRILEK AUTOMATION  PTY  LTD E</t>
  </si>
  <si>
    <t>phanual</t>
  </si>
  <si>
    <t>POD received from cell 0741433512 M</t>
  </si>
  <si>
    <t>Mona</t>
  </si>
  <si>
    <t xml:space="preserve">MDW PNEUMATIC TRADING PTY LTD      </t>
  </si>
  <si>
    <t>MDW PNEUMATIC TRADING PTY LTD</t>
  </si>
  <si>
    <t>MIDELET</t>
  </si>
  <si>
    <t xml:space="preserve">FILMATIC PACKAGING SYSTEMS (PT     </t>
  </si>
  <si>
    <t>FILMATIC PACKAGING SYSTEMS  PT</t>
  </si>
  <si>
    <t>Gary</t>
  </si>
  <si>
    <t>kabelo mashego</t>
  </si>
  <si>
    <t>t makgopela</t>
  </si>
  <si>
    <t xml:space="preserve">MONDI SOUTH AFRICA PROPRIETARY     </t>
  </si>
  <si>
    <t>MONDI SOUTH AFRICA PROPRIETARY</t>
  </si>
  <si>
    <t>nelson</t>
  </si>
  <si>
    <t>LEV</t>
  </si>
  <si>
    <t>ISIPI</t>
  </si>
  <si>
    <t>ISIPINGO</t>
  </si>
  <si>
    <t xml:space="preserve">ISEGEN S.A (PTY) LTD               </t>
  </si>
  <si>
    <t>ISEGEN S.A  PTY  LTD</t>
  </si>
  <si>
    <t>keegan</t>
  </si>
  <si>
    <t xml:space="preserve">NATIONAL BRANDS LIMITED  ROSSL     </t>
  </si>
  <si>
    <t>NATIONAL BRANDS LIMITED ROSSLY</t>
  </si>
  <si>
    <t>DANIEL</t>
  </si>
  <si>
    <t>Lesley</t>
  </si>
  <si>
    <t xml:space="preserve">MINI PAL                      </t>
  </si>
  <si>
    <t xml:space="preserve">HULAMIN OPERATIONS (PTY) LTD       </t>
  </si>
  <si>
    <t>HULAMIN OPERATIONS  PTY  LTD</t>
  </si>
  <si>
    <t>Thami</t>
  </si>
  <si>
    <t>POD received from cell 0625489709 M</t>
  </si>
  <si>
    <t xml:space="preserve">PROMAX SIVEX DISTRIBUTORS CC T     </t>
  </si>
  <si>
    <t>PROMAX SIVEX DISTRIBUTORS CC T</t>
  </si>
  <si>
    <t>RUDI</t>
  </si>
  <si>
    <t xml:space="preserve">FORD MOTOR CO. SA MANUFACTURIN     </t>
  </si>
  <si>
    <t>FORD MOTOR CO. SA MANUFACTURIN</t>
  </si>
  <si>
    <t>EUGENE</t>
  </si>
  <si>
    <t xml:space="preserve">REBUS INDUSTRIAL CONTROLS          </t>
  </si>
  <si>
    <t>REBUS INDUSTRIAL CONTROLS</t>
  </si>
  <si>
    <t>Jaco</t>
  </si>
  <si>
    <t xml:space="preserve">BBF SAFETY FROUP (PTY) LTD         </t>
  </si>
  <si>
    <t>BBF SAFETY FROUP  PTY  LTD</t>
  </si>
  <si>
    <t>Sadha</t>
  </si>
  <si>
    <t xml:space="preserve">G.U.D HOLDINGS (PTY) LTD PROSP     </t>
  </si>
  <si>
    <t>G.U.D HOLDINGS  PTY  LTD PROSP</t>
  </si>
  <si>
    <t>mmichael</t>
  </si>
  <si>
    <t>COL</t>
  </si>
  <si>
    <t xml:space="preserve">FLYERT                        </t>
  </si>
  <si>
    <t>SHAAKIR</t>
  </si>
  <si>
    <t>SALDA</t>
  </si>
  <si>
    <t>SALDANHA</t>
  </si>
  <si>
    <t xml:space="preserve">AFROX DUFERCO (ECOVAR)             </t>
  </si>
  <si>
    <t>AFROX DUFERCO  ECOVAR</t>
  </si>
  <si>
    <t>SITITI</t>
  </si>
  <si>
    <t>nic</t>
  </si>
  <si>
    <t xml:space="preserve">ASPEN SA OPERATIONS ( PTY ) LT     </t>
  </si>
  <si>
    <t>ASPEN SA OPERATIONS   PTY   LT</t>
  </si>
  <si>
    <t>JoJo</t>
  </si>
  <si>
    <t xml:space="preserve">ALBANY BAKERIES A DIVISION OF      </t>
  </si>
  <si>
    <t>ALBANY BAKERIES A DIVISION OF</t>
  </si>
  <si>
    <t xml:space="preserve">KENNETH                       </t>
  </si>
  <si>
    <t xml:space="preserve">HYDRABERG HYDRAULICS CC            </t>
  </si>
  <si>
    <t>HYDRABERG HYDRAULICS CC</t>
  </si>
  <si>
    <t>Daniel</t>
  </si>
  <si>
    <t xml:space="preserve">FIRST NATIONAL BATTERY             </t>
  </si>
  <si>
    <t>FIRST NATIONAL BATTERY</t>
  </si>
  <si>
    <t xml:space="preserve">Baxelele                      </t>
  </si>
  <si>
    <t xml:space="preserve">POD received from cell 0788915943 M     </t>
  </si>
  <si>
    <t xml:space="preserve">sibusio                       </t>
  </si>
  <si>
    <t xml:space="preserve">POD received from cell 0738058187 M     </t>
  </si>
  <si>
    <t xml:space="preserve">TRUDA FOODS WILLEM CRUYWAGEN L     </t>
  </si>
  <si>
    <t>TRUDA FOODS WILLEM CRUYWAGEN L</t>
  </si>
  <si>
    <t>0182</t>
  </si>
  <si>
    <t xml:space="preserve">HENDOK DISTRIBUTION PTY LTD        </t>
  </si>
  <si>
    <t>HENDOK DISTRIBUTION</t>
  </si>
  <si>
    <t>preston</t>
  </si>
  <si>
    <t xml:space="preserve">PRAGA TECHNICAL PTY LTD PLZ        </t>
  </si>
  <si>
    <t>PRAGA TECHNICAL PTY LTD PLZ</t>
  </si>
  <si>
    <t>Priscilla</t>
  </si>
  <si>
    <t>Lungisile</t>
  </si>
  <si>
    <t>POD received from cell 0761265903 M</t>
  </si>
  <si>
    <t xml:space="preserve">FESTO PORT ELIZABETH               </t>
  </si>
  <si>
    <t>FESTO PORT ELIZABETH JANSE VAN</t>
  </si>
  <si>
    <t>J Steyn</t>
  </si>
  <si>
    <t>kurt</t>
  </si>
  <si>
    <t xml:space="preserve">FOXOLUTION SYSTEMS ENGINEERING     </t>
  </si>
  <si>
    <t>FOXOLUTION SYSTEMS ENGINEERING</t>
  </si>
  <si>
    <t xml:space="preserve">Arno                          </t>
  </si>
  <si>
    <t xml:space="preserve">POD received from cell 0735647467 M     </t>
  </si>
  <si>
    <t xml:space="preserve">SPRING MEADOW DAIRY FARM (PTY)     </t>
  </si>
  <si>
    <t>SPRING MEADOW DAIRY FARM  PTY</t>
  </si>
  <si>
    <t xml:space="preserve">nhlakanipho                   </t>
  </si>
  <si>
    <t xml:space="preserve">ROV DURRANT ENGINEERING (PTY)      </t>
  </si>
  <si>
    <t>ROV DURRANT ENGINEERING  PTY</t>
  </si>
  <si>
    <t>E Sauls</t>
  </si>
  <si>
    <t>Nkosinathi</t>
  </si>
  <si>
    <t>TAZ</t>
  </si>
  <si>
    <t>POD received from cell 0729470949 M</t>
  </si>
  <si>
    <t>WAYNER</t>
  </si>
  <si>
    <t>POD received from cell 0719533928 M</t>
  </si>
  <si>
    <t xml:space="preserve">NECSA PELINDABA                    </t>
  </si>
  <si>
    <t>NECSA PELINDABA</t>
  </si>
  <si>
    <t>LESIBA</t>
  </si>
  <si>
    <t>ORA</t>
  </si>
  <si>
    <t xml:space="preserve">GRANROTH (PTY) LTD                 </t>
  </si>
  <si>
    <t>GRANROTH  PTY  LTD</t>
  </si>
  <si>
    <t>brad</t>
  </si>
  <si>
    <t xml:space="preserve">MESCHTEC SERVICES (PTY) LTD        </t>
  </si>
  <si>
    <t>MESCHTEC SERVICES  PTY  LTD</t>
  </si>
  <si>
    <t>POD received from cell 0730264922 M</t>
  </si>
  <si>
    <t xml:space="preserve">RAPID INDUSTRIAL SUPPLIES PTY      </t>
  </si>
  <si>
    <t>RAPID INDUSTRIAL</t>
  </si>
  <si>
    <t>Nella</t>
  </si>
  <si>
    <t xml:space="preserve">POLYOAK PACKAGING PTY LTD AERO     </t>
  </si>
  <si>
    <t>POLYOAK PACKAGING PTY LTD AERO</t>
  </si>
  <si>
    <t xml:space="preserve">Bytel                         </t>
  </si>
  <si>
    <t xml:space="preserve">CHW DESIGN CC                      </t>
  </si>
  <si>
    <t>CHW DESIGN CC</t>
  </si>
  <si>
    <t>Anzel</t>
  </si>
  <si>
    <t xml:space="preserve">CAXTON WORKS                       </t>
  </si>
  <si>
    <t>CAXTON WORKS</t>
  </si>
  <si>
    <t>renell</t>
  </si>
  <si>
    <t>POD received from cell 0783211209 M</t>
  </si>
  <si>
    <t xml:space="preserve">THE SOUTH AFRICAN BREWERIES LT     </t>
  </si>
  <si>
    <t>THE SOUTH AFRICAN BREWERIES LT</t>
  </si>
  <si>
    <t>AYABULELA</t>
  </si>
  <si>
    <t xml:space="preserve">VOLKSWAGEN OF SA (PTY) LTD PLN     </t>
  </si>
  <si>
    <t>VOLKSWAGEN OF SA  PTY  LTD PLN</t>
  </si>
  <si>
    <t>andiswa</t>
  </si>
  <si>
    <t xml:space="preserve">trymore                       </t>
  </si>
  <si>
    <t xml:space="preserve">PARCELS                       </t>
  </si>
  <si>
    <t xml:space="preserve">IAA DISTRIBUTION ROODEPOORT        </t>
  </si>
  <si>
    <t>IAA DISTRIBUTION ROODEPOORT</t>
  </si>
  <si>
    <t>Yanika</t>
  </si>
  <si>
    <t>POD received from cell 0644108519 M</t>
  </si>
  <si>
    <t>BALF2</t>
  </si>
  <si>
    <t>BALFOUR (TVL)</t>
  </si>
  <si>
    <t xml:space="preserve">KARAN BEEF PTY LTD ORDER NUMBE     </t>
  </si>
  <si>
    <t>KARAN BEEF PTY LTD ORDER NUMBE</t>
  </si>
  <si>
    <t>Ntombi</t>
  </si>
  <si>
    <t>POD received from cell 0606968550 M</t>
  </si>
  <si>
    <t>olebogeng</t>
  </si>
  <si>
    <t xml:space="preserve">GUTH SOUTH AFRICA (PTY) LTD NE     </t>
  </si>
  <si>
    <t>GUTH SOUTH AFRICA  PTY  LTD NE</t>
  </si>
  <si>
    <t>Piet</t>
  </si>
  <si>
    <t>POD received from cell 0728892773 M</t>
  </si>
  <si>
    <t xml:space="preserve">B   E CONFERENCE CENTRE            </t>
  </si>
  <si>
    <t xml:space="preserve">FESTO JHB                          </t>
  </si>
  <si>
    <t>Robby</t>
  </si>
  <si>
    <t>Jeff</t>
  </si>
  <si>
    <t>LADYS</t>
  </si>
  <si>
    <t>LADYSMITH (NTL)</t>
  </si>
  <si>
    <t xml:space="preserve">DEFY APPLIANCES (PTY) LTD LADY     </t>
  </si>
  <si>
    <t>DEFY APPLIANCES  PTY  LTD LADY</t>
  </si>
  <si>
    <t>Simon radebe</t>
  </si>
  <si>
    <t>POD received from cell 0662487525 M</t>
  </si>
  <si>
    <t xml:space="preserve">SAMMY                         </t>
  </si>
  <si>
    <t xml:space="preserve">MECHANICAL CONCEPTS CC             </t>
  </si>
  <si>
    <t>MECHANICAL CONCEPTS CC</t>
  </si>
  <si>
    <t>Trevor</t>
  </si>
  <si>
    <t xml:space="preserve">JLINC T A TASAMA TRADING 213C      </t>
  </si>
  <si>
    <t>JLINC T A TASAMA TRADING 213C</t>
  </si>
  <si>
    <t>A Lutzeler</t>
  </si>
  <si>
    <t>PFARELO</t>
  </si>
  <si>
    <t>randil</t>
  </si>
  <si>
    <t>POD received from cell 0767994841 M</t>
  </si>
  <si>
    <t>Nella Smit</t>
  </si>
  <si>
    <t>FOODCORP (PTY) LTD T A SUNBAKE</t>
  </si>
  <si>
    <t>PAUL</t>
  </si>
  <si>
    <t>0117</t>
  </si>
  <si>
    <t xml:space="preserve">Black Sheep Industries             </t>
  </si>
  <si>
    <t>Danielle</t>
  </si>
  <si>
    <t xml:space="preserve">GENERAL  PNEUMATICS KZN            </t>
  </si>
  <si>
    <t>GENERAL PNEUMATICS</t>
  </si>
  <si>
    <t xml:space="preserve">cacvin                        </t>
  </si>
  <si>
    <t xml:space="preserve">POD received from cell 0678467994 M     </t>
  </si>
  <si>
    <t xml:space="preserve">BORBET SA PTY LTD                  </t>
  </si>
  <si>
    <t>BORBET SA PTY LTD</t>
  </si>
  <si>
    <t>Asanda</t>
  </si>
  <si>
    <t>MIDRA</t>
  </si>
  <si>
    <t>MIDRAND</t>
  </si>
  <si>
    <t xml:space="preserve">DE BEERS SUPPLY CHAIN CENTER M     </t>
  </si>
  <si>
    <t>DE BEERS SUPPLY CHAIN CENTER M</t>
  </si>
  <si>
    <t>TERRY</t>
  </si>
  <si>
    <t>Athi</t>
  </si>
  <si>
    <t>deliverd by 15h48</t>
  </si>
  <si>
    <t xml:space="preserve">BPX                           </t>
  </si>
  <si>
    <t xml:space="preserve">FELTEX TRIM P.E                    </t>
  </si>
  <si>
    <t>FELTEX TRIM P.E</t>
  </si>
  <si>
    <t>Asiphe</t>
  </si>
  <si>
    <t>RUSSEL</t>
  </si>
  <si>
    <t>NCH</t>
  </si>
  <si>
    <t xml:space="preserve">BOXES                         </t>
  </si>
  <si>
    <t xml:space="preserve">NEOPAK                             </t>
  </si>
  <si>
    <t>NEOPAK</t>
  </si>
  <si>
    <t>TEBOGO</t>
  </si>
  <si>
    <t xml:space="preserve">DEVCOTECH ELECTRICAL ENGINEERI     </t>
  </si>
  <si>
    <t>DEVCOTECH ELECTRICAL ENGINEERI</t>
  </si>
  <si>
    <t>gradin</t>
  </si>
  <si>
    <t>PATRICK</t>
  </si>
  <si>
    <t xml:space="preserve">PAARL PNEUMATICS CC                </t>
  </si>
  <si>
    <t>PAARL PNEUMATICS CC</t>
  </si>
  <si>
    <t>Randall</t>
  </si>
  <si>
    <t>POD received from cell 0737996477 M</t>
  </si>
  <si>
    <t>M Pamla</t>
  </si>
  <si>
    <t>Sinazo</t>
  </si>
  <si>
    <t xml:space="preserve">POLIMATRIX S.A                     </t>
  </si>
  <si>
    <t>POLIMATRIX S.A</t>
  </si>
  <si>
    <t>Victor</t>
  </si>
  <si>
    <t>POD received from cell 0677827371 M</t>
  </si>
  <si>
    <t>BOTRI</t>
  </si>
  <si>
    <t>BOTRIVIER</t>
  </si>
  <si>
    <t xml:space="preserve">NLO INFORMATION SYSTEMS (PTY)      </t>
  </si>
  <si>
    <t>NLO INFORMATION SYSTEMS  PTY</t>
  </si>
  <si>
    <t>Nico</t>
  </si>
  <si>
    <t>POD received from cell 0834059114 M</t>
  </si>
  <si>
    <t xml:space="preserve">cidney                        </t>
  </si>
  <si>
    <t xml:space="preserve">SCHULLPAK CC                       </t>
  </si>
  <si>
    <t>SCHULLPAK CC</t>
  </si>
  <si>
    <t>RUE</t>
  </si>
  <si>
    <t>Patrick</t>
  </si>
  <si>
    <t>POTGI</t>
  </si>
  <si>
    <t>POTGIETERSRUS</t>
  </si>
  <si>
    <t xml:space="preserve">QUATRO PACK CC                     </t>
  </si>
  <si>
    <t>QUATRO PACK CC</t>
  </si>
  <si>
    <t>anita</t>
  </si>
  <si>
    <t>POD received from cell 0815633627 M</t>
  </si>
  <si>
    <t>0601</t>
  </si>
  <si>
    <t xml:space="preserve">DANIE                         </t>
  </si>
  <si>
    <t>Godfrey</t>
  </si>
  <si>
    <t>khutso</t>
  </si>
  <si>
    <t xml:space="preserve">Shia                          </t>
  </si>
  <si>
    <t>juh</t>
  </si>
  <si>
    <t xml:space="preserve">POD received from cell 0842084217 M     </t>
  </si>
  <si>
    <t>Desmond</t>
  </si>
  <si>
    <t>jerelle</t>
  </si>
  <si>
    <t>lindy</t>
  </si>
  <si>
    <t>Moses</t>
  </si>
  <si>
    <t>STANG</t>
  </si>
  <si>
    <t>STANGER</t>
  </si>
  <si>
    <t xml:space="preserve">SAPPI SOUTHERN AFRICA LIMITED      </t>
  </si>
  <si>
    <t>SAPPI SOUTHERN AFRICA</t>
  </si>
  <si>
    <t>raujin</t>
  </si>
  <si>
    <t>POD received from cell 0617419153 M</t>
  </si>
  <si>
    <t xml:space="preserve">Mbona                         </t>
  </si>
  <si>
    <t xml:space="preserve">POD received from cell 0659386993 M     </t>
  </si>
  <si>
    <t xml:space="preserve">TRANSVAAL HYDRAULICS (PTY) LTD     </t>
  </si>
  <si>
    <t>TRANSVAAL HYDRAULICS  PTY  LTD</t>
  </si>
  <si>
    <t>COETZER</t>
  </si>
  <si>
    <t>Cecilia</t>
  </si>
  <si>
    <t>PULE</t>
  </si>
  <si>
    <t>BAGTECH INTERNATIONAL PTY LTD</t>
  </si>
  <si>
    <t xml:space="preserve">WILLOWTON OIL   CAKE MILLS         </t>
  </si>
  <si>
    <t>WILLOWTON OIL   CAKE MILLS</t>
  </si>
  <si>
    <t>Andly</t>
  </si>
  <si>
    <t>heff</t>
  </si>
  <si>
    <t xml:space="preserve">PATERSON HUGHES ENGINEERING        </t>
  </si>
  <si>
    <t>PATERSON HUGHES ENGINEERING</t>
  </si>
  <si>
    <t>HAUNS</t>
  </si>
  <si>
    <t xml:space="preserve">SUMATRA TRADING (PTY) LTD          </t>
  </si>
  <si>
    <t>SUMATRA TRADING  PTY  LTD</t>
  </si>
  <si>
    <t>NAUSHAD</t>
  </si>
  <si>
    <t xml:space="preserve">STRAIT ACCESS TECHNOLOGIES         </t>
  </si>
  <si>
    <t>STRAIT ACCESS TECHNOLOGIES</t>
  </si>
  <si>
    <t>Veruscha</t>
  </si>
  <si>
    <t>POD received from cell 0633442020 M</t>
  </si>
  <si>
    <t xml:space="preserve">HYDRAQUIP BERGRIVIER HIDROLIES     </t>
  </si>
  <si>
    <t>HYDRAQUIP BERGRIVIER HIDROLIES</t>
  </si>
  <si>
    <t>Ryno</t>
  </si>
  <si>
    <t xml:space="preserve">FELTEX AUTOMOTIVE DIVISION- GR     </t>
  </si>
  <si>
    <t>FELTEX AUTOMOTIVE DIVISION- GR</t>
  </si>
  <si>
    <t>nhcarhoo</t>
  </si>
  <si>
    <t xml:space="preserve">kezley                        </t>
  </si>
  <si>
    <t xml:space="preserve">POD received from cell 0608702785 M     </t>
  </si>
  <si>
    <t xml:space="preserve">ACTOM PTY LTD                      </t>
  </si>
  <si>
    <t>ACTOM PTY LTD</t>
  </si>
  <si>
    <t>SONTO</t>
  </si>
  <si>
    <t>GONUB</t>
  </si>
  <si>
    <t>GONUBIE</t>
  </si>
  <si>
    <t xml:space="preserve">TITUS CONSULTING CC                </t>
  </si>
  <si>
    <t>TITUS CONSULTING CC</t>
  </si>
  <si>
    <t>Tristan</t>
  </si>
  <si>
    <t>POD received from cell 0645575004 M</t>
  </si>
  <si>
    <t xml:space="preserve">RHEINMETALL DENEL MUNITIONS DU     </t>
  </si>
  <si>
    <t>RHEINMETALL DENEL MUNITIONS DU</t>
  </si>
  <si>
    <t>freddy</t>
  </si>
  <si>
    <t xml:space="preserve">IMARA AUTOMATION CC                </t>
  </si>
  <si>
    <t>IMARA AUTOMATION CC</t>
  </si>
  <si>
    <t>Beer</t>
  </si>
  <si>
    <t xml:space="preserve">CLIFFORD MACHINES   TECHNOLOGY     </t>
  </si>
  <si>
    <t>CLIFFORD MACHINES   TECHNOLOGY</t>
  </si>
  <si>
    <t>Spha</t>
  </si>
  <si>
    <t xml:space="preserve">FOODCORP (PTY) LTD PRESIDENT B     </t>
  </si>
  <si>
    <t>FOODCORP  PTY  LTD PRESIDENT B</t>
  </si>
  <si>
    <t xml:space="preserve">MICHAEL                       </t>
  </si>
  <si>
    <t>sous</t>
  </si>
  <si>
    <t xml:space="preserve">INNOVATIVE WATER CARE SA HOLDI     </t>
  </si>
  <si>
    <t>INNOVATIVE WATER CARE SA HOLDI</t>
  </si>
  <si>
    <t>Sizwe</t>
  </si>
  <si>
    <t xml:space="preserve">FINLAR FINE FOODS ADO LIBSTAR      </t>
  </si>
  <si>
    <t>FINLAR FINE FOODS ADO LIBSTAR</t>
  </si>
  <si>
    <t>CAMBRIDGE</t>
  </si>
  <si>
    <t>MIA</t>
  </si>
  <si>
    <t xml:space="preserve">MACSTEEL FLUID CONTROL             </t>
  </si>
  <si>
    <t>MACSTEEL FLUID CONTROL</t>
  </si>
  <si>
    <t>Kenneth</t>
  </si>
  <si>
    <t>POD received from cell 0747980518 M</t>
  </si>
  <si>
    <t>Pumeza</t>
  </si>
  <si>
    <t xml:space="preserve">COMPRESSED AIR EQUIPMENT  JHB      </t>
  </si>
  <si>
    <t>COMPRESSED AIR EQUIPMENT</t>
  </si>
  <si>
    <t>LORENZO</t>
  </si>
  <si>
    <t>STAMP</t>
  </si>
  <si>
    <t>nichael</t>
  </si>
  <si>
    <t xml:space="preserve">PREMIER FMCG (PTY) LTD PINETOW     </t>
  </si>
  <si>
    <t>PREMIER FMCG  PTY  LTD PINETOW</t>
  </si>
  <si>
    <t>Shaun</t>
  </si>
  <si>
    <t>ATLAN</t>
  </si>
  <si>
    <t>ATLANTIS</t>
  </si>
  <si>
    <t xml:space="preserve">ZF PASSIVE SAFETY SOUTH AFRICA     </t>
  </si>
  <si>
    <t>ZF PASSIVE SAFETY SOUTH AFRICA</t>
  </si>
  <si>
    <t xml:space="preserve">katlgo                        </t>
  </si>
  <si>
    <t xml:space="preserve">POD received from cell 0625092893 M     </t>
  </si>
  <si>
    <t>somabili</t>
  </si>
  <si>
    <t xml:space="preserve">HEINEKEN SOUTH AFRICA (PTY) LT     </t>
  </si>
  <si>
    <t>HEINEKEN SOUTH AFRICA  PTY  LT</t>
  </si>
  <si>
    <t>S MLABA</t>
  </si>
  <si>
    <t xml:space="preserve">OPMOBILITY C POWER SA (PTY) LT     </t>
  </si>
  <si>
    <t>OPMOBILITY C POWER SA  PTY  LT</t>
  </si>
  <si>
    <t>NHLANHLA</t>
  </si>
  <si>
    <t>jeff</t>
  </si>
  <si>
    <t xml:space="preserve">ENT GMST ENGINEERING - SPARES      </t>
  </si>
  <si>
    <t>ENT GMST ENGINEERING - SPARES</t>
  </si>
  <si>
    <t>FAITH</t>
  </si>
  <si>
    <t>POD received from cell 0736687669 M</t>
  </si>
  <si>
    <t xml:space="preserve">FILTEC AUTOMATION CC               </t>
  </si>
  <si>
    <t>FILTEC AUTOMATION CC</t>
  </si>
  <si>
    <t>PRAYAL</t>
  </si>
  <si>
    <t xml:space="preserve">MARTIN   MARTIN PTY LTD            </t>
  </si>
  <si>
    <t>MARTIN   MARTIN</t>
  </si>
  <si>
    <t>Pamela</t>
  </si>
  <si>
    <t>POD received from cell 0720194745 M</t>
  </si>
  <si>
    <t xml:space="preserve">STANDIG (PTY) LTD                  </t>
  </si>
  <si>
    <t>STANDIG  PTY  LTD</t>
  </si>
  <si>
    <t>Returned to sender on waybill</t>
  </si>
  <si>
    <t>Returned to sender on waybill number R08</t>
  </si>
  <si>
    <t xml:space="preserve">PFG BUILDING GLASS                 </t>
  </si>
  <si>
    <t>PFG BUILDING GLASS</t>
  </si>
  <si>
    <t>Themba</t>
  </si>
  <si>
    <t xml:space="preserve">FILMATIC PACKAGING SYSTEMS PTY     </t>
  </si>
  <si>
    <t>FILMATIC PACKAGING SYSTEMS</t>
  </si>
  <si>
    <t>Bytel</t>
  </si>
  <si>
    <t>rna</t>
  </si>
  <si>
    <t>aubeu</t>
  </si>
  <si>
    <t xml:space="preserve">PROGETTO INTERNATIONAL             </t>
  </si>
  <si>
    <t>PROGETTO INTERNATIONAL</t>
  </si>
  <si>
    <t>NICO</t>
  </si>
  <si>
    <t>RUSTE</t>
  </si>
  <si>
    <t>RUSTENBURG</t>
  </si>
  <si>
    <t xml:space="preserve">PRIME INSTRUMENTATION CC RUSTE     </t>
  </si>
  <si>
    <t>PRIME INSTRUMENTATION CC RUSTE</t>
  </si>
  <si>
    <t>albert</t>
  </si>
  <si>
    <t>0300</t>
  </si>
  <si>
    <t xml:space="preserve">DNH MANUFACTURING (PTY) LTD        </t>
  </si>
  <si>
    <t>DNH MANUFACTURING  PTY  LTD</t>
  </si>
  <si>
    <t>R Bingle</t>
  </si>
  <si>
    <t xml:space="preserve">randil                        </t>
  </si>
  <si>
    <t>Kathleen</t>
  </si>
  <si>
    <t xml:space="preserve">UNIVERSAL PAPER   PLASTIC (BOP     </t>
  </si>
  <si>
    <t>UNIVERSAL PAPER   PLASTIC  BOP</t>
  </si>
  <si>
    <t>m tsonope</t>
  </si>
  <si>
    <t>0208</t>
  </si>
  <si>
    <t xml:space="preserve">PNEUSTREAM                         </t>
  </si>
  <si>
    <t>PNEUSTREAM</t>
  </si>
  <si>
    <t>DANIE</t>
  </si>
  <si>
    <t>ronald</t>
  </si>
  <si>
    <t xml:space="preserve">TOYOTA SA MOTORS (PTY) LTD PRO     </t>
  </si>
  <si>
    <t>TOYOTA SA MOTORS  PTY  LTD PRO</t>
  </si>
  <si>
    <t>sagie</t>
  </si>
  <si>
    <t xml:space="preserve">TOYOTA SA MOTORS (PTY) LTD EXH     </t>
  </si>
  <si>
    <t>TOYOTA SA MOTORS  PTY  LTD EXH</t>
  </si>
  <si>
    <t>TX cele</t>
  </si>
  <si>
    <t>ELSABE</t>
  </si>
  <si>
    <t xml:space="preserve">SIQALO FOODS PTY LTD               </t>
  </si>
  <si>
    <t>SIQALO FOODS PTY LTD</t>
  </si>
  <si>
    <t>NANDIPHA</t>
  </si>
  <si>
    <t xml:space="preserve">EAST RAND HYDRAULIC                </t>
  </si>
  <si>
    <t>EAST RAND HYDRAULIC</t>
  </si>
  <si>
    <t>Michael</t>
  </si>
  <si>
    <t>sindiswa</t>
  </si>
  <si>
    <t xml:space="preserve">TIGER BRANDS ( CHOCOLATE UNIT      </t>
  </si>
  <si>
    <t>TIGER BRANDS   CHOCOLATE UNIT</t>
  </si>
  <si>
    <t>kishen</t>
  </si>
  <si>
    <t>POD received from cell 0612986212 M</t>
  </si>
  <si>
    <t xml:space="preserve">UNIVERSAL AUTOMATED SYSTEMS (P     </t>
  </si>
  <si>
    <t>UNIVERSAL AUTOMATED SYSTEMS  P</t>
  </si>
  <si>
    <t>JASON</t>
  </si>
  <si>
    <t>POD received from cell 0716990024 M</t>
  </si>
  <si>
    <t xml:space="preserve">DE BEERS MARINE PTY LTD            </t>
  </si>
  <si>
    <t>DE BEERS MARINE PTY LTD</t>
  </si>
  <si>
    <t>Siyabonga</t>
  </si>
  <si>
    <t xml:space="preserve">AUTO INDUSTRIAL MACHINING  A D     </t>
  </si>
  <si>
    <t>AUTO INDUSTRIAL MACHINING</t>
  </si>
  <si>
    <t xml:space="preserve">Victory Electrical                 </t>
  </si>
  <si>
    <t xml:space="preserve">SPIRAX SARCO SA PTY LTD            </t>
  </si>
  <si>
    <t>SPIRAX SARCO</t>
  </si>
  <si>
    <t xml:space="preserve">1310 MAIN STREET PYT LTD T A T     </t>
  </si>
  <si>
    <t>1310 MAIN STREET PYT LTD T A T</t>
  </si>
  <si>
    <t>LAWRENCE</t>
  </si>
  <si>
    <t>trevor</t>
  </si>
  <si>
    <t>gary</t>
  </si>
  <si>
    <t xml:space="preserve">MAVTECH TECHNOLOGIES (PTY) LTD     </t>
  </si>
  <si>
    <t>MAVTECH TECHNOLOGIES  PTY  LTD</t>
  </si>
  <si>
    <t xml:space="preserve">JODY                          </t>
  </si>
  <si>
    <t xml:space="preserve">OPTIMECH ENGINEERING SOLUTIONS     </t>
  </si>
  <si>
    <t>OPTIMECH ENGINEERING SOLUTIONS</t>
  </si>
  <si>
    <t>G PILLAY</t>
  </si>
  <si>
    <t>POD received from cell 0716311909 M</t>
  </si>
  <si>
    <t>BETHA</t>
  </si>
  <si>
    <t>BETHAL</t>
  </si>
  <si>
    <t xml:space="preserve">QRS INDUSTRIAL GROUP BETHAL        </t>
  </si>
  <si>
    <t>QRS INDUSTRIAL GROUP BETHAL</t>
  </si>
  <si>
    <t>Sandra WEIST</t>
  </si>
  <si>
    <t>DUN</t>
  </si>
  <si>
    <t>POD received from cell 0664026421 M</t>
  </si>
  <si>
    <t xml:space="preserve">SMITHS MANUFACTURING (PTY) LTD     </t>
  </si>
  <si>
    <t>SMITHS MANUFACTURING  PTY  LTD</t>
  </si>
  <si>
    <t>mahommed</t>
  </si>
  <si>
    <t>POD received from cell 0678467994 M</t>
  </si>
  <si>
    <t>elize</t>
  </si>
  <si>
    <t>kim</t>
  </si>
  <si>
    <t>Aiden</t>
  </si>
  <si>
    <t>Lisa</t>
  </si>
  <si>
    <t xml:space="preserve">LUMEC ENGINEERING SERVICES NOR     </t>
  </si>
  <si>
    <t>LUMEC ENGINEERING SERVICES NOR</t>
  </si>
  <si>
    <t>fritz</t>
  </si>
  <si>
    <t xml:space="preserve">IDWALA CARBONATES DIV -IDWALA      </t>
  </si>
  <si>
    <t>IDWALA CARBONATES DIV -IDWALA</t>
  </si>
  <si>
    <t xml:space="preserve">keush                         </t>
  </si>
  <si>
    <t xml:space="preserve">POD received from cell 0663869424 M     </t>
  </si>
  <si>
    <t xml:space="preserve">BLISS BRANDS (PTY) LTD             </t>
  </si>
  <si>
    <t>BLISS BRANDS</t>
  </si>
  <si>
    <t>Younus</t>
  </si>
  <si>
    <t xml:space="preserve">PRODUCTIVE ENGINEERING CC          </t>
  </si>
  <si>
    <t>PRODUCTIVE ENGINEERING CC</t>
  </si>
  <si>
    <t>raymond</t>
  </si>
  <si>
    <t>POD received from cell 0727759089 M</t>
  </si>
  <si>
    <t>Tracy</t>
  </si>
  <si>
    <t>Ansel</t>
  </si>
  <si>
    <t xml:space="preserve">REFERRO SYSTEMS PTY LTD            </t>
  </si>
  <si>
    <t>REFERRO SYSTEMS PTY LTD</t>
  </si>
  <si>
    <t>JABULANI</t>
  </si>
  <si>
    <t>0040</t>
  </si>
  <si>
    <t>Athenkosi</t>
  </si>
  <si>
    <t>POD received from cell 0612301350 M</t>
  </si>
  <si>
    <t>GREG</t>
  </si>
  <si>
    <t>SHAUN</t>
  </si>
  <si>
    <t xml:space="preserve">SMOKEHOUSE MASTERS PTY LTD         </t>
  </si>
  <si>
    <t>SMOKEHOUSE MASTERS PTY LTD</t>
  </si>
  <si>
    <t>NAMPAK PRODUCTS LTD T A BEVCAN</t>
  </si>
  <si>
    <t>KATLEGO</t>
  </si>
  <si>
    <t>phayal</t>
  </si>
  <si>
    <t>POD received from cell 0844020000 M</t>
  </si>
  <si>
    <t>james</t>
  </si>
  <si>
    <t>hughda</t>
  </si>
  <si>
    <t>POD received from cell 0659756866 M</t>
  </si>
  <si>
    <t>SANDISO</t>
  </si>
  <si>
    <t>Tuumelo</t>
  </si>
  <si>
    <t>POD received from cell 0636621831 M</t>
  </si>
  <si>
    <t>HOPE</t>
  </si>
  <si>
    <t>0001</t>
  </si>
  <si>
    <t>lollita</t>
  </si>
  <si>
    <t>MYRON</t>
  </si>
  <si>
    <t xml:space="preserve">ANG INDUSTRIAL SOLUTIONS PTY 2     </t>
  </si>
  <si>
    <t>ANG INDUSTRIAL SOLUTIONS PTY 2</t>
  </si>
  <si>
    <t>H.G MOLENAAR</t>
  </si>
  <si>
    <t>Brandon</t>
  </si>
  <si>
    <t xml:space="preserve">RCL FOODS CONSUMER (PTY) LTD S     </t>
  </si>
  <si>
    <t>RCL FOODS CONSUMER  PTY  LTD S</t>
  </si>
  <si>
    <t xml:space="preserve">Mathapo                       </t>
  </si>
  <si>
    <t xml:space="preserve">POD received from cell 0786786237 M     </t>
  </si>
  <si>
    <t xml:space="preserve">Medwin                        </t>
  </si>
  <si>
    <t>KATHLEEN</t>
  </si>
  <si>
    <t xml:space="preserve">TIGER BRANDS SNACKS  TREAT   B     </t>
  </si>
  <si>
    <t>TIGER BRANDS SNACKS  TREAT   B</t>
  </si>
  <si>
    <t>azwi</t>
  </si>
  <si>
    <t>POD received from cell 0642984653 M</t>
  </si>
  <si>
    <t xml:space="preserve">ELECTROSALES ELECTRICAL            </t>
  </si>
  <si>
    <t>ELECTROSALES ELECTRICAL</t>
  </si>
  <si>
    <t>KIKI</t>
  </si>
  <si>
    <t xml:space="preserve">FAMOUS BRANDS MANAGEMENT           </t>
  </si>
  <si>
    <t>FAMOUS BRANDS MANAGEMENT</t>
  </si>
  <si>
    <t>gift</t>
  </si>
  <si>
    <t>POD received from cell 0848256515 M</t>
  </si>
  <si>
    <t>Ferburon</t>
  </si>
  <si>
    <t xml:space="preserve">RECKITT BENCKISER PHARMACEUTIC     </t>
  </si>
  <si>
    <t>RECKITT BENCKISER PHARMACEUTIC</t>
  </si>
  <si>
    <t>Linnea</t>
  </si>
  <si>
    <t>ANDREW</t>
  </si>
  <si>
    <t>Mahlatse</t>
  </si>
  <si>
    <t>R stene</t>
  </si>
  <si>
    <t>POD received from cell 0662478807 M</t>
  </si>
  <si>
    <t>N Visagie</t>
  </si>
  <si>
    <t xml:space="preserve">BRITISH AMERICAN TOBACCO SA        </t>
  </si>
  <si>
    <t>BRITISH AMERICAN TOBACCO SA</t>
  </si>
  <si>
    <t xml:space="preserve">bongi                         </t>
  </si>
  <si>
    <t xml:space="preserve">POD received from cell 0751236651 M     </t>
  </si>
  <si>
    <t xml:space="preserve">CROWN CHICKENS (PTY) LTD T A S     </t>
  </si>
  <si>
    <t>CROWN CHICKENS  PTY  LTD T A S</t>
  </si>
  <si>
    <t>lundi</t>
  </si>
  <si>
    <t xml:space="preserve">PREASHNEE GOVENDER                 </t>
  </si>
  <si>
    <t>0113729340</t>
  </si>
  <si>
    <t>lucia</t>
  </si>
  <si>
    <t>POD received from cell 0677145838 M</t>
  </si>
  <si>
    <t xml:space="preserve">PE HYDRAULICS   PNEUMATICS         </t>
  </si>
  <si>
    <t>PE HYDRAULICS   PNEUMATICS</t>
  </si>
  <si>
    <t>prasan</t>
  </si>
  <si>
    <t>J B</t>
  </si>
  <si>
    <t>kutlwano</t>
  </si>
  <si>
    <t xml:space="preserve">TFE SOUTH AFRICA                   </t>
  </si>
  <si>
    <t>TFE SOUTH AFRICA</t>
  </si>
  <si>
    <t>katjeho</t>
  </si>
  <si>
    <t>Cidney</t>
  </si>
  <si>
    <t>phelokazi</t>
  </si>
  <si>
    <t>CHRIS</t>
  </si>
  <si>
    <t>G Coetzee</t>
  </si>
  <si>
    <t xml:space="preserve">SFC SOLUTIONS CLIMATE SOUTH AF     </t>
  </si>
  <si>
    <t>SFC SOLUTIONS CLIMATE SOUTH AF</t>
  </si>
  <si>
    <t>sivuyile</t>
  </si>
  <si>
    <t>XOLA</t>
  </si>
  <si>
    <t>SSM</t>
  </si>
  <si>
    <t>DANELLE</t>
  </si>
  <si>
    <t>Avinash</t>
  </si>
  <si>
    <t xml:space="preserve">CROWN CHICKENS T A SOVEREIGHFO     </t>
  </si>
  <si>
    <t>CROWN CHICKENS</t>
  </si>
  <si>
    <t>DICHABA</t>
  </si>
  <si>
    <t>BONGANI</t>
  </si>
  <si>
    <t>ruan</t>
  </si>
  <si>
    <t>basil</t>
  </si>
  <si>
    <t xml:space="preserve">NEWCO INSTRUMENTS CC               </t>
  </si>
  <si>
    <t>NEWCO INSTRUMENTS CC</t>
  </si>
  <si>
    <t>lizel</t>
  </si>
  <si>
    <t>POD received from cell 0794524703 M</t>
  </si>
  <si>
    <t>cazvin</t>
  </si>
  <si>
    <t>E suals</t>
  </si>
  <si>
    <t>SAM</t>
  </si>
  <si>
    <t>0105096219081</t>
  </si>
  <si>
    <t>DANIELSKUIL</t>
  </si>
  <si>
    <t xml:space="preserve">IDWALA INDUSTRIAL HOLDINGS LTD     </t>
  </si>
  <si>
    <t>IDWALA INDUSTRIAL HOLDINGS LTD</t>
  </si>
  <si>
    <t>pieter</t>
  </si>
  <si>
    <t xml:space="preserve">NON FERROUS METAL WORKS S.A        </t>
  </si>
  <si>
    <t>NON FERROUS METAL WORKS S.A</t>
  </si>
  <si>
    <t>sandiwe</t>
  </si>
  <si>
    <t xml:space="preserve">S.A. LITHO PRINTING   PACK. (S     </t>
  </si>
  <si>
    <t>S.A. LITHO PRINTING   PACK.  S</t>
  </si>
  <si>
    <t>L Elliot</t>
  </si>
  <si>
    <t xml:space="preserve">MED-ENGINEERING (PTY) LTD          </t>
  </si>
  <si>
    <t>MED-ENGINEERING  PTY  LTD</t>
  </si>
  <si>
    <t>Rudi</t>
  </si>
  <si>
    <t xml:space="preserve">DIYA VALVES INTERNATIONAL CC C     </t>
  </si>
  <si>
    <t>DIYA VALVES INTERNATIONAL CC C</t>
  </si>
  <si>
    <t>alaiah</t>
  </si>
  <si>
    <t>POD received from cell 0698085401 M</t>
  </si>
  <si>
    <t xml:space="preserve">AURIELLA PTY LTD                   </t>
  </si>
  <si>
    <t>AURIELLA PTY LTD</t>
  </si>
  <si>
    <t>xolani</t>
  </si>
  <si>
    <t>POD received from cell 0837842726 M</t>
  </si>
  <si>
    <t>KUTLWANO</t>
  </si>
  <si>
    <t xml:space="preserve">ROCBOLT TECHNOLOGIES PTY LTD       </t>
  </si>
  <si>
    <t>ROCBOLT TECHNOLOGIES</t>
  </si>
  <si>
    <t>oorlog</t>
  </si>
  <si>
    <t>SHONEY</t>
  </si>
  <si>
    <t>Chris</t>
  </si>
  <si>
    <t>hugh</t>
  </si>
  <si>
    <t>PHALA</t>
  </si>
  <si>
    <t>PHALABORWA</t>
  </si>
  <si>
    <t xml:space="preserve">PALABORA COPPER (PTY) TD           </t>
  </si>
  <si>
    <t>PALABORA COPPER  PTY  TD</t>
  </si>
  <si>
    <t>loscar</t>
  </si>
  <si>
    <t>POD received from cell 0714955146 M</t>
  </si>
  <si>
    <t xml:space="preserve">IRVIN   JOHNSON LTD PAARDEN EI     </t>
  </si>
  <si>
    <t>IRVIN   JOHNSON LTD PAARDEN EI</t>
  </si>
  <si>
    <t>saban</t>
  </si>
  <si>
    <t xml:space="preserve">DEFY APPLIANCES (PTY) LTD : AT     </t>
  </si>
  <si>
    <t>DEFY APPLIANCES  PTY  LTD   AT</t>
  </si>
  <si>
    <t>M D MKUBE</t>
  </si>
  <si>
    <t>POD received from cell 0733056816 M</t>
  </si>
  <si>
    <t xml:space="preserve">PAILPAC (PTY) LTD                  </t>
  </si>
  <si>
    <t>PAILPAC  PTY  LTD</t>
  </si>
  <si>
    <t>lamie</t>
  </si>
  <si>
    <t>Randle</t>
  </si>
  <si>
    <t xml:space="preserve">MOVE ANALYTICS CC (FESTO DIREC     </t>
  </si>
  <si>
    <t xml:space="preserve">Paarl Nederburg Wines              </t>
  </si>
  <si>
    <t>RECEIVING</t>
  </si>
  <si>
    <t>vuyiseka</t>
  </si>
  <si>
    <t>POD received from cell 0722711040 M</t>
  </si>
  <si>
    <t xml:space="preserve">PRODUCTIVE SYSTEMS CC              </t>
  </si>
  <si>
    <t>PRODUCTIVE SYSTEMS CC</t>
  </si>
  <si>
    <t xml:space="preserve">BEN                           </t>
  </si>
  <si>
    <t xml:space="preserve">ME ELECMETAL PRIMA MANUFACTURI     </t>
  </si>
  <si>
    <t>ME ELECMETAL PRIMA MANUFACTURI</t>
  </si>
  <si>
    <t>meagie</t>
  </si>
  <si>
    <t>GRAHAM</t>
  </si>
  <si>
    <t xml:space="preserve">UNILEVER SOUTH AFRICA PTY NLTD     </t>
  </si>
  <si>
    <t>UNILEVER SOUTH AFRICA</t>
  </si>
  <si>
    <t xml:space="preserve">LION MATCH PRODUCTS (PTY) LTD      </t>
  </si>
  <si>
    <t>LION MATCH PRODUCTS  PTY  LTD</t>
  </si>
  <si>
    <t>JEANY</t>
  </si>
  <si>
    <t>Tallen</t>
  </si>
  <si>
    <t>GOLDMINE</t>
  </si>
  <si>
    <t>joseph</t>
  </si>
  <si>
    <t xml:space="preserve">FLEXICON AFRICA PTY                </t>
  </si>
  <si>
    <t>FLEXICON AFRICA PTY</t>
  </si>
  <si>
    <t>maraz</t>
  </si>
  <si>
    <t>hans</t>
  </si>
  <si>
    <t>tshepiso</t>
  </si>
  <si>
    <t>BLESSING</t>
  </si>
  <si>
    <t>andrues</t>
  </si>
  <si>
    <t>Lutzler</t>
  </si>
  <si>
    <t>junaid</t>
  </si>
  <si>
    <t xml:space="preserve">TRUDA FOODS (PTY) LTD EPPING I     </t>
  </si>
  <si>
    <t>TRUDA FOODS  PTY  LTD EPPING I</t>
  </si>
  <si>
    <t xml:space="preserve">D Fokazi                      </t>
  </si>
  <si>
    <t>daj</t>
  </si>
  <si>
    <t>RANDB</t>
  </si>
  <si>
    <t>RANDBURG</t>
  </si>
  <si>
    <t xml:space="preserve">DIRECTECH (PTY) LTD                </t>
  </si>
  <si>
    <t>DIRECTECH  PTY  LTD</t>
  </si>
  <si>
    <t>Shadrack</t>
  </si>
  <si>
    <t>POD received from cell 0720457394 M</t>
  </si>
  <si>
    <t>GRV TO FOLLOW</t>
  </si>
  <si>
    <t xml:space="preserve">IMPACT DISTRIBUTORS (PTY) LTD      </t>
  </si>
  <si>
    <t>IMPACT DISTRIBUTORS  PTY  LTDD</t>
  </si>
  <si>
    <t>david</t>
  </si>
  <si>
    <t xml:space="preserve">BIG OR SMALL PROJECTS ENGINEER     </t>
  </si>
  <si>
    <t>BIG OR SMALL PROJECTS ENGINEER</t>
  </si>
  <si>
    <t>0606025924089</t>
  </si>
  <si>
    <t>0084</t>
  </si>
  <si>
    <t>GULTO</t>
  </si>
  <si>
    <t xml:space="preserve">CROWN CHICKENS T A SOVEREIGNFO     </t>
  </si>
  <si>
    <t>CROWN CHICKENS T A SOVEREIGNFO</t>
  </si>
  <si>
    <t>EUTH</t>
  </si>
  <si>
    <t>TENNECO RIDE CONTROL</t>
  </si>
  <si>
    <t>siyagebg</t>
  </si>
  <si>
    <t>andries</t>
  </si>
  <si>
    <t xml:space="preserve">BOWLER PLASTICS (PTY) LTD          </t>
  </si>
  <si>
    <t>BOWLER PLASTICS  PTY  LTD</t>
  </si>
  <si>
    <t>KENNETH</t>
  </si>
  <si>
    <t xml:space="preserve">CTP PRINTERS CAPE TOWN             </t>
  </si>
  <si>
    <t>CTP PRINTERS CAPE TOWN</t>
  </si>
  <si>
    <t>N Africa</t>
  </si>
  <si>
    <t xml:space="preserve">REEF ENGINEERING   MNFG. CO. (     </t>
  </si>
  <si>
    <t>REEF ENGINEERING   MNFG. CO.</t>
  </si>
  <si>
    <t>darlington</t>
  </si>
  <si>
    <t xml:space="preserve">BOX (CON                      </t>
  </si>
  <si>
    <t>TIM</t>
  </si>
  <si>
    <t xml:space="preserve">mary                          </t>
  </si>
  <si>
    <t xml:space="preserve">POD received from cell 0650974645 M     </t>
  </si>
  <si>
    <t>jade</t>
  </si>
  <si>
    <t>sibu</t>
  </si>
  <si>
    <t xml:space="preserve">SAPPI SOUTHERN AFRICA              </t>
  </si>
  <si>
    <t>Charity</t>
  </si>
  <si>
    <t>POD received from cell 0724697510 M</t>
  </si>
  <si>
    <t xml:space="preserve">UNILEVER SOUTH AFRICA              </t>
  </si>
  <si>
    <t>kiven</t>
  </si>
  <si>
    <t>UNILEVER SOUTH AFRICA PTY NLTD</t>
  </si>
  <si>
    <t>y</t>
  </si>
  <si>
    <t>CRAIG</t>
  </si>
  <si>
    <t>taj</t>
  </si>
  <si>
    <t>lucky</t>
  </si>
  <si>
    <t xml:space="preserve">EFAMATIC MACHINE TOOLS             </t>
  </si>
  <si>
    <t>EFAMATIC MACHINE TOOLS</t>
  </si>
  <si>
    <t>caum</t>
  </si>
  <si>
    <t xml:space="preserve">SCAW SOUTH AFRICA PTY LTD          </t>
  </si>
  <si>
    <t>SCAW SOUTH AFRICA PTY LTD</t>
  </si>
  <si>
    <t>Jacobs</t>
  </si>
  <si>
    <t xml:space="preserve">POLYOAK PACKAGING (PTY) LTD KZ     </t>
  </si>
  <si>
    <t>POLYOAK PACKAGING  PTY  LTD KZ</t>
  </si>
  <si>
    <t>nozipho</t>
  </si>
  <si>
    <t xml:space="preserve">MERCEDES BENZ SOUTH AFRICA         </t>
  </si>
  <si>
    <t>MERCEDES BENZ S.A</t>
  </si>
  <si>
    <t>Chaz</t>
  </si>
  <si>
    <t>POD received from cell 0740914769 M</t>
  </si>
  <si>
    <t xml:space="preserve">shane                         </t>
  </si>
  <si>
    <t xml:space="preserve">POD received from cell 0793062989 M     </t>
  </si>
  <si>
    <t>Charles</t>
  </si>
  <si>
    <t>POD received from cell 0605970267 M</t>
  </si>
  <si>
    <t>BETHL</t>
  </si>
  <si>
    <t>BETHLEHEM</t>
  </si>
  <si>
    <t xml:space="preserve">BUILD IT                           </t>
  </si>
  <si>
    <t>BUILD IT</t>
  </si>
  <si>
    <t>David</t>
  </si>
  <si>
    <t>POD received from cell 0713010915 M</t>
  </si>
  <si>
    <t xml:space="preserve">TI GROUP AUTOMOTIVE SYSTEMS        </t>
  </si>
  <si>
    <t>TI GROUP AUTOMOTIVE SYSTEMS</t>
  </si>
  <si>
    <t>LLYOYD</t>
  </si>
  <si>
    <t xml:space="preserve">KOPANYE                       </t>
  </si>
  <si>
    <t>Maylee</t>
  </si>
  <si>
    <t xml:space="preserve">BOLT   ENGINEERING DISTRIBUTOR     </t>
  </si>
  <si>
    <t>BOLT   ENGINEERING DISTRIBUTOR</t>
  </si>
  <si>
    <t>mzwakhe</t>
  </si>
  <si>
    <t>GEORG</t>
  </si>
  <si>
    <t>GEORGE</t>
  </si>
  <si>
    <t xml:space="preserve">SANMIK AGENCIES CC                 </t>
  </si>
  <si>
    <t>SANMIK AGENCIES CC</t>
  </si>
  <si>
    <t>CLIVE</t>
  </si>
  <si>
    <t xml:space="preserve">CONSOLIDATED WIRE INDUSTRIES (     </t>
  </si>
  <si>
    <t>CONSOLIDATED WIRE INDUSTRIES</t>
  </si>
  <si>
    <t>KGOPOTSO</t>
  </si>
  <si>
    <t xml:space="preserve">Verona                        </t>
  </si>
  <si>
    <t xml:space="preserve">POD received from cell 0625489709 M     </t>
  </si>
  <si>
    <t>smith</t>
  </si>
  <si>
    <t>Company Closed</t>
  </si>
  <si>
    <t xml:space="preserve">FLTER                         </t>
  </si>
  <si>
    <t xml:space="preserve">DLYER                         </t>
  </si>
  <si>
    <t>naphtha</t>
  </si>
  <si>
    <t xml:space="preserve">GM Voogt                           </t>
  </si>
  <si>
    <t>Sonette Greeff</t>
  </si>
  <si>
    <t>Xolani Thobela</t>
  </si>
  <si>
    <t xml:space="preserve">S4 Integration                     </t>
  </si>
  <si>
    <t>Greg Allen</t>
  </si>
  <si>
    <t xml:space="preserve">Supplyrite                         </t>
  </si>
  <si>
    <t>Danae</t>
  </si>
  <si>
    <t xml:space="preserve">New Pneumatics                     </t>
  </si>
  <si>
    <t>George</t>
  </si>
  <si>
    <t xml:space="preserve">FAURECIA EMISIONS CONTROL TECH     </t>
  </si>
  <si>
    <t>FAURECIA EMISIONS CONTROL TECH</t>
  </si>
  <si>
    <t>eshaam</t>
  </si>
  <si>
    <t>annette</t>
  </si>
  <si>
    <t>Clement</t>
  </si>
  <si>
    <t>clinton</t>
  </si>
  <si>
    <t xml:space="preserve">CRYOGENIC AND INDUSTRIAL GAS C     </t>
  </si>
  <si>
    <t>CRYOGENIC AND INDUSTRIAL GAS C</t>
  </si>
  <si>
    <t>Sebastien</t>
  </si>
  <si>
    <t>POD received from cell 0633843469 M</t>
  </si>
  <si>
    <t xml:space="preserve">PAILPAC (PTY) LTD NORTHDENE        </t>
  </si>
  <si>
    <t>PAILPAC  PTY  LTD NORTHDENE</t>
  </si>
  <si>
    <t>israel</t>
  </si>
  <si>
    <t>POD received from cell 0737880648 M</t>
  </si>
  <si>
    <t>hugda</t>
  </si>
  <si>
    <t>SWELL</t>
  </si>
  <si>
    <t>SWELLENDAM</t>
  </si>
  <si>
    <t xml:space="preserve">AUTOMATION WORKS CAPE PTY LTD      </t>
  </si>
  <si>
    <t>AUTOMATION WORKS CAPE PTY LTD</t>
  </si>
  <si>
    <t>FRANCES</t>
  </si>
  <si>
    <t xml:space="preserve">RESRG AUTOMATIVE ZA (PTY) LTD      </t>
  </si>
  <si>
    <t>RESRG AUTOMATIVE ZA  PTY  LTD</t>
  </si>
  <si>
    <t>lubabalo</t>
  </si>
  <si>
    <t>doc / DOC / FUE / INS</t>
  </si>
  <si>
    <t>FES CUST 20251204 52 - BACK TO CUSTOMER</t>
  </si>
  <si>
    <t>FES CUST 20251204 53 - BACK TO CUSTOMER</t>
  </si>
  <si>
    <t>Returned to sender on waybill number RR0</t>
  </si>
  <si>
    <t>J STEYN</t>
  </si>
  <si>
    <t xml:space="preserve">KULULA TECHNOLOGIES CC             </t>
  </si>
  <si>
    <t>KULULA TECHNOLOGIES CC</t>
  </si>
  <si>
    <t>moloi</t>
  </si>
  <si>
    <t xml:space="preserve">JOSEPH                        </t>
  </si>
  <si>
    <t xml:space="preserve">LUCKY                         </t>
  </si>
  <si>
    <t xml:space="preserve">POD received from cell 0715155602 M     </t>
  </si>
  <si>
    <t>E Sanls</t>
  </si>
  <si>
    <t>SIBUSISO</t>
  </si>
  <si>
    <t>nicci</t>
  </si>
  <si>
    <t>keagan</t>
  </si>
  <si>
    <t xml:space="preserve">THE SOUTH AFRICA BREWERIES LTD     </t>
  </si>
  <si>
    <t>THE SOUTH AFRICA BREWERIES LTD</t>
  </si>
  <si>
    <t>nadine</t>
  </si>
  <si>
    <t>Farren</t>
  </si>
  <si>
    <t xml:space="preserve">LEDA ENGINEERING SERVICES CC       </t>
  </si>
  <si>
    <t>LEDA ENGINEERING SERVICES CC</t>
  </si>
  <si>
    <t>TESS</t>
  </si>
  <si>
    <t>ansel</t>
  </si>
  <si>
    <t xml:space="preserve">MICROMATH TRADING 168 T A PROT     </t>
  </si>
  <si>
    <t>MICROMATH TRADING 168 T A PROT</t>
  </si>
  <si>
    <t>LEV-I BAG</t>
  </si>
  <si>
    <t xml:space="preserve">CAVALETTO 98 (PTY) LTD T A PRO     </t>
  </si>
  <si>
    <t>CAVALETTO 98  PTY  LTD T A PRO</t>
  </si>
  <si>
    <t>tanya</t>
  </si>
  <si>
    <t>POD received from cell 0744435413 M</t>
  </si>
  <si>
    <t xml:space="preserve">SHIFT-ID (PTY) LTD FALCON PARK     </t>
  </si>
  <si>
    <t>SHIFT-ID  PTY  LTD FALCON PARK</t>
  </si>
  <si>
    <t xml:space="preserve">Penny                         </t>
  </si>
  <si>
    <t xml:space="preserve">POD received from cell 0767994841 M     </t>
  </si>
  <si>
    <t xml:space="preserve">LYCOPODIUM WAREHOUSE CITY DEEP     </t>
  </si>
  <si>
    <t>LYCOPODIUM WAREHOUSE CITY DEEP</t>
  </si>
  <si>
    <t>tshepo</t>
  </si>
  <si>
    <t>dombo</t>
  </si>
  <si>
    <t>HYDROMATIC</t>
  </si>
  <si>
    <t>SUWELLE</t>
  </si>
  <si>
    <t>PPM</t>
  </si>
  <si>
    <t>katia</t>
  </si>
  <si>
    <t xml:space="preserve">SMITHS MANUFACTURING               </t>
  </si>
  <si>
    <t>SMITHS MANUFACTURING</t>
  </si>
  <si>
    <t>yugeshnee</t>
  </si>
  <si>
    <t>POD received from cell 0670405005 M</t>
  </si>
  <si>
    <t>OUPA</t>
  </si>
  <si>
    <t>VRED3</t>
  </si>
  <si>
    <t>VREDENBURG</t>
  </si>
  <si>
    <t xml:space="preserve">TRONOX MINERAL SANDS (PTY) LTD     </t>
  </si>
  <si>
    <t>TRONOX MINERAL SANDS  PTY  LTD</t>
  </si>
  <si>
    <t>NICKY</t>
  </si>
  <si>
    <t xml:space="preserve">Randle                        </t>
  </si>
  <si>
    <t>GREYT</t>
  </si>
  <si>
    <t>GREYTOWN</t>
  </si>
  <si>
    <t xml:space="preserve">ILLOVO SUGAR SOUTH AFRICA DALT     </t>
  </si>
  <si>
    <t>ILLOVO SUGAR SOUTH AFRICA DALT</t>
  </si>
  <si>
    <t>Quayle</t>
  </si>
  <si>
    <t>POD received from cell 0712723510 M</t>
  </si>
  <si>
    <t>Abulele</t>
  </si>
  <si>
    <t>divaan</t>
  </si>
  <si>
    <t>ntoubise</t>
  </si>
  <si>
    <t>uat</t>
  </si>
  <si>
    <t>Ronica</t>
  </si>
  <si>
    <t>Reshen</t>
  </si>
  <si>
    <t>Emily</t>
  </si>
  <si>
    <t>shioa</t>
  </si>
  <si>
    <t xml:space="preserve">TONGAAT HULLETTS GROUP             </t>
  </si>
  <si>
    <t>TONGAAT HULLETTS GROUP</t>
  </si>
  <si>
    <t>lco suraj</t>
  </si>
  <si>
    <t>sello</t>
  </si>
  <si>
    <t>danelle</t>
  </si>
  <si>
    <t xml:space="preserve">CIRCUIT BREAKER INDUSTRIES (PT     </t>
  </si>
  <si>
    <t>CIRCUIT BREAKER INDUSTRIES  PT</t>
  </si>
  <si>
    <t>george</t>
  </si>
  <si>
    <t xml:space="preserve">SOUTH AFRICAN BUREAU OF STANDA     </t>
  </si>
  <si>
    <t>SOUTH AFRICAN BUREAU OF STANDA</t>
  </si>
  <si>
    <t>WILLIAM</t>
  </si>
  <si>
    <t>0181</t>
  </si>
  <si>
    <t>SIMVUSELISIWE</t>
  </si>
  <si>
    <t xml:space="preserve">CATER CHAIN FOOD SERVICES          </t>
  </si>
  <si>
    <t>CATER CHAIN FOOD SERVICES</t>
  </si>
  <si>
    <t>lydia</t>
  </si>
  <si>
    <t>PIET2</t>
  </si>
  <si>
    <t>PIETERSBURG</t>
  </si>
  <si>
    <t xml:space="preserve">Violet                        </t>
  </si>
  <si>
    <t xml:space="preserve">POD received from cell 0795513816 M     </t>
  </si>
  <si>
    <t>0700</t>
  </si>
  <si>
    <t xml:space="preserve">YANFENG PLASTIC OMNIUM SA AUTO     </t>
  </si>
  <si>
    <t>YANFENG PLASTIC OMNIUM SA AUTO</t>
  </si>
  <si>
    <t>GOMOLEMO</t>
  </si>
  <si>
    <t>loraia</t>
  </si>
  <si>
    <t>THABO</t>
  </si>
  <si>
    <t>petros</t>
  </si>
  <si>
    <t xml:space="preserve">Truda Foods                        </t>
  </si>
  <si>
    <t>Kelebogile Moeketsi</t>
  </si>
  <si>
    <t xml:space="preserve">GRW COMMERCIALS (PTY) LTD T A      </t>
  </si>
  <si>
    <t>GRW COMMERCIALS  PTY  LTD T A</t>
  </si>
  <si>
    <t>musa</t>
  </si>
  <si>
    <t xml:space="preserve">SA BULLET RESISTANT GLASS CC       </t>
  </si>
  <si>
    <t>SA BULLET RESISTANT GLASS CC</t>
  </si>
  <si>
    <t>collen</t>
  </si>
  <si>
    <t>Jueyren</t>
  </si>
  <si>
    <t xml:space="preserve">BAY AUTOMATION (PTY) LTD WILLO     </t>
  </si>
  <si>
    <t>BAY AUTOMATION  PTY  LTD  WILL</t>
  </si>
  <si>
    <t>DEBORAH</t>
  </si>
  <si>
    <t>ISITH</t>
  </si>
  <si>
    <t>ISITHEBE</t>
  </si>
  <si>
    <t xml:space="preserve">KIC SA PTY LTD                     </t>
  </si>
  <si>
    <t>KIC SA PTY LTD</t>
  </si>
  <si>
    <t>POD received from cell 0761615396 M</t>
  </si>
  <si>
    <t xml:space="preserve">ACDC DYNAMICS CC                   </t>
  </si>
  <si>
    <t>ACDC DYNAMICS CC</t>
  </si>
  <si>
    <t>INNOCENT</t>
  </si>
  <si>
    <t>venessa</t>
  </si>
  <si>
    <t>RFG FOODS  PTY  LTD</t>
  </si>
  <si>
    <t>ntsako</t>
  </si>
  <si>
    <t>Kyle</t>
  </si>
  <si>
    <t xml:space="preserve">OCEAN LEGACY MARINE ENGINEERIN     </t>
  </si>
  <si>
    <t>OCEAN LEGACY MARINE ENGINEERIN</t>
  </si>
  <si>
    <t xml:space="preserve">britney                       </t>
  </si>
  <si>
    <t xml:space="preserve">POD received from cell 0692632913 M     </t>
  </si>
  <si>
    <t>SIMPHIWE</t>
  </si>
  <si>
    <t>eacelon</t>
  </si>
  <si>
    <t xml:space="preserve">SNEAKER SNACKS CC                  </t>
  </si>
  <si>
    <t>SNEAKER SNACKS CC</t>
  </si>
  <si>
    <t>llewellyn</t>
  </si>
  <si>
    <t>nici</t>
  </si>
  <si>
    <t>sipho</t>
  </si>
  <si>
    <t xml:space="preserve">SAINT-GOBAIN CIONSTRUCTION PRO     </t>
  </si>
  <si>
    <t>SAINT-GOBAIN CIONSTRUCTION PRO</t>
  </si>
  <si>
    <t>SIFISO</t>
  </si>
  <si>
    <t xml:space="preserve">CONRO PRECISION                    </t>
  </si>
  <si>
    <t>CONRO PRECISION</t>
  </si>
  <si>
    <t>Oscar</t>
  </si>
  <si>
    <t>sibusiso</t>
  </si>
  <si>
    <t>themba</t>
  </si>
  <si>
    <t>Darrian</t>
  </si>
  <si>
    <t>POD received from cell 0785995125 M</t>
  </si>
  <si>
    <t>clemend</t>
  </si>
  <si>
    <t xml:space="preserve">Audrey                        </t>
  </si>
  <si>
    <t>DIMAKATSO</t>
  </si>
  <si>
    <t>ESTCO</t>
  </si>
  <si>
    <t>ESTCOURT</t>
  </si>
  <si>
    <t xml:space="preserve">NESTLE SOUTH AFRICA                </t>
  </si>
  <si>
    <t>NESTLE SOUTH AFRICA</t>
  </si>
  <si>
    <t>Sithembiso</t>
  </si>
  <si>
    <t>elvis</t>
  </si>
  <si>
    <t>vd nest</t>
  </si>
  <si>
    <t>Randal</t>
  </si>
  <si>
    <t>SIMON</t>
  </si>
  <si>
    <t xml:space="preserve">YNF ENGINEERING ANVIL RD ISAND     </t>
  </si>
  <si>
    <t>YNF ENGINEERING ANVIL RD ISAND</t>
  </si>
  <si>
    <t>sibususo</t>
  </si>
  <si>
    <t xml:space="preserve">SASOL CHEMICALS A DIVISION OF      </t>
  </si>
  <si>
    <t>SASOL CHEMICALS A DIVISION OF</t>
  </si>
  <si>
    <t xml:space="preserve">A.P.L CARTONS WORCESTER            </t>
  </si>
  <si>
    <t>A.P.L CARTONS WORCESTER</t>
  </si>
  <si>
    <t>jowill</t>
  </si>
  <si>
    <t>POD received from cell 0813352451 M</t>
  </si>
  <si>
    <t xml:space="preserve">sello                         </t>
  </si>
  <si>
    <t xml:space="preserve">POD received from cell 0647581272 M     </t>
  </si>
  <si>
    <t xml:space="preserve">MASTER PNEUMATIC AFRICA            </t>
  </si>
  <si>
    <t>MASTER PNEUMATIC AFRICA</t>
  </si>
  <si>
    <t xml:space="preserve">Mark                          </t>
  </si>
  <si>
    <t xml:space="preserve">POD received from cell 0720457394 M     </t>
  </si>
  <si>
    <t>stokwe</t>
  </si>
  <si>
    <t xml:space="preserve">4 BYTES AUTOMATION CC HENNOPSP     </t>
  </si>
  <si>
    <t>4 BYTES AUTOMATION CC HENNOPSP</t>
  </si>
  <si>
    <t>ITUMELENG</t>
  </si>
  <si>
    <t>nathan</t>
  </si>
  <si>
    <t xml:space="preserve">ICEBA VINCO (PTY) LTD              </t>
  </si>
  <si>
    <t>ICEBA VINCO  PTY  LTD</t>
  </si>
  <si>
    <t xml:space="preserve">MANDI                         </t>
  </si>
  <si>
    <t xml:space="preserve">0309045536088                           </t>
  </si>
  <si>
    <t>Musa</t>
  </si>
  <si>
    <t xml:space="preserve">YANFENG INTERNATIONAL AUTOMOTI     </t>
  </si>
  <si>
    <t>YANFENG INTERNATIONAL AUTOMATI</t>
  </si>
  <si>
    <t>Wayne</t>
  </si>
  <si>
    <t xml:space="preserve">xola                          </t>
  </si>
  <si>
    <t xml:space="preserve">POD received from cell 0780568122 M     </t>
  </si>
  <si>
    <t>alex</t>
  </si>
  <si>
    <t>OHILANI</t>
  </si>
  <si>
    <t>jamie</t>
  </si>
  <si>
    <t>randall</t>
  </si>
  <si>
    <t>Odwa</t>
  </si>
  <si>
    <t>Brandy</t>
  </si>
  <si>
    <t xml:space="preserve">Sindile                       </t>
  </si>
  <si>
    <t xml:space="preserve">box                           </t>
  </si>
  <si>
    <t xml:space="preserve">RICH PRODUCTS CORP OF SOUTH AF     </t>
  </si>
  <si>
    <t>RICH PRODUCTS CORP OF SOUTH AF</t>
  </si>
  <si>
    <t>golden</t>
  </si>
  <si>
    <t>XOLISWA</t>
  </si>
  <si>
    <t xml:space="preserve">jonathan                      </t>
  </si>
  <si>
    <t xml:space="preserve">TETRA PAK SOUTH AFRICA PTY LTD     </t>
  </si>
  <si>
    <t>TETRA PAK SOUTH AFRICA PTY LTD</t>
  </si>
  <si>
    <t>NOSIPHO</t>
  </si>
  <si>
    <t>phillipine</t>
  </si>
  <si>
    <t>xola</t>
  </si>
  <si>
    <t>YVONNE</t>
  </si>
  <si>
    <t xml:space="preserve">freddy                        </t>
  </si>
  <si>
    <t xml:space="preserve">POD received from cell 0840403522 M     </t>
  </si>
  <si>
    <t xml:space="preserve">BMG PORT ELIZABETH                 </t>
  </si>
  <si>
    <t>BMG PORT ELIZABETH</t>
  </si>
  <si>
    <t>tenishca</t>
  </si>
  <si>
    <t xml:space="preserve">KERRY INGREDIENTS                  </t>
  </si>
  <si>
    <t>KERRY INGREDIENTS</t>
  </si>
  <si>
    <t>MAlindi</t>
  </si>
  <si>
    <t xml:space="preserve">GRIPPER   CO PTY LTD               </t>
  </si>
  <si>
    <t>GRIPPER   CO</t>
  </si>
  <si>
    <t>CARMEN</t>
  </si>
  <si>
    <t>POD received from cell 0764958693 M</t>
  </si>
  <si>
    <t>ESTHER</t>
  </si>
  <si>
    <t>BRANDY</t>
  </si>
  <si>
    <t>themb</t>
  </si>
  <si>
    <t>keenan</t>
  </si>
  <si>
    <t>NTM</t>
  </si>
  <si>
    <t>philani</t>
  </si>
  <si>
    <t xml:space="preserve">POLYOAK PACKAGING (THEUNIS COE     </t>
  </si>
  <si>
    <t>POLYOAK PACKAGING  THEUNIS COE</t>
  </si>
  <si>
    <t>theunis</t>
  </si>
  <si>
    <t>NIKESH</t>
  </si>
  <si>
    <t>F Roux</t>
  </si>
  <si>
    <t>Sb coombs</t>
  </si>
  <si>
    <t xml:space="preserve">VOLKSWAGEN OF SA VC3055            </t>
  </si>
  <si>
    <t>VOLKSWAGEN OF SA VC3055</t>
  </si>
  <si>
    <t>p scheepers</t>
  </si>
  <si>
    <t>LOLLITD</t>
  </si>
  <si>
    <t xml:space="preserve">Sithembiso                    </t>
  </si>
  <si>
    <t>riehaed</t>
  </si>
  <si>
    <t>andrew</t>
  </si>
  <si>
    <t>cambrige</t>
  </si>
  <si>
    <t xml:space="preserve">BADER SA (PTY) LTD                 </t>
  </si>
  <si>
    <t>BADER SA  PTY  LTD</t>
  </si>
  <si>
    <t>S FOURIE</t>
  </si>
  <si>
    <t>Dawson</t>
  </si>
  <si>
    <t>deli</t>
  </si>
  <si>
    <t>POD received from cell 0670946715 M</t>
  </si>
  <si>
    <t xml:space="preserve">POLYOAK PACKAGING (PTY) LTD DI     </t>
  </si>
  <si>
    <t>POLYOAK PACKAGING  PTY  LTD DI</t>
  </si>
  <si>
    <t>Tamaryn</t>
  </si>
  <si>
    <t>POD received from cell 0792230061 M</t>
  </si>
  <si>
    <t>vusi</t>
  </si>
  <si>
    <t>stanlay</t>
  </si>
  <si>
    <t xml:space="preserve">ROBOTIC INNOVATIONS (PTY) LTD      </t>
  </si>
  <si>
    <t>ROBOTIC INNOVATIONS  PTY  LTD</t>
  </si>
  <si>
    <t>CHANTELLE</t>
  </si>
  <si>
    <t xml:space="preserve">TURNCO ENGINEERING CC              </t>
  </si>
  <si>
    <t>TURNCO ENGINEERING CC</t>
  </si>
  <si>
    <t>Claudia</t>
  </si>
  <si>
    <t>JOSEPH</t>
  </si>
  <si>
    <t xml:space="preserve">DC MEAT WHOLESALERS CC             </t>
  </si>
  <si>
    <t>DC MEAT WHOLESALERS CC</t>
  </si>
  <si>
    <t>Natasha</t>
  </si>
  <si>
    <t>CHANTELL</t>
  </si>
  <si>
    <t>BRAKP</t>
  </si>
  <si>
    <t>BRAKPAN</t>
  </si>
  <si>
    <t xml:space="preserve">AYON SOLUTIONS CC BRAKPAN          </t>
  </si>
  <si>
    <t>AYON SOLUTIONS CC BRAKPAN</t>
  </si>
  <si>
    <t>riaan</t>
  </si>
  <si>
    <t>AMT</t>
  </si>
  <si>
    <t>POD received from cell 0846301490 M</t>
  </si>
  <si>
    <t>AFRICA</t>
  </si>
  <si>
    <t>zamokuhle</t>
  </si>
  <si>
    <t xml:space="preserve">DALEIN AGRI PLAN (PTY) LTD         </t>
  </si>
  <si>
    <t>DALEIN AGRI PLAN  PTY  LTD</t>
  </si>
  <si>
    <t>RUBIN</t>
  </si>
  <si>
    <t>0186</t>
  </si>
  <si>
    <t>morris</t>
  </si>
  <si>
    <t>thabile</t>
  </si>
  <si>
    <t>POD received from cell 0767196058 M</t>
  </si>
  <si>
    <t>carl</t>
  </si>
  <si>
    <t xml:space="preserve">FESTO DURBAN                       </t>
  </si>
  <si>
    <t>FESTO DURBAN  BLOCK 1</t>
  </si>
  <si>
    <t>Lawrence</t>
  </si>
  <si>
    <t xml:space="preserve">UNILEVER SOUTH AFRICA PTY LTD      </t>
  </si>
  <si>
    <t>UNILEVER SOUTH AFRICA PTY LTD</t>
  </si>
  <si>
    <t>KANYANE</t>
  </si>
  <si>
    <t>Andile</t>
  </si>
  <si>
    <t xml:space="preserve">BARNES FENCING INDUSTRIES (PTY     </t>
  </si>
  <si>
    <t>BARNES FENCING INDUSTRIES  PTY</t>
  </si>
  <si>
    <t>Gino</t>
  </si>
  <si>
    <t xml:space="preserve">ENGINEERING   ELECTRICAL SUPPL     </t>
  </si>
  <si>
    <t>ENGINEERING   ELECTRICAL SUPPL</t>
  </si>
  <si>
    <t>Lauren</t>
  </si>
  <si>
    <t>MDM</t>
  </si>
  <si>
    <t>POD received from cell 0628474552 M</t>
  </si>
  <si>
    <t xml:space="preserve">RCL GROUP SERVICES PTY LTD         </t>
  </si>
  <si>
    <t>RCL GROUP SERVICES PTY LTD</t>
  </si>
  <si>
    <t>kelestso</t>
  </si>
  <si>
    <t>Mary</t>
  </si>
  <si>
    <t>JANSE VAN RENSBURG</t>
  </si>
  <si>
    <t>MIDD2</t>
  </si>
  <si>
    <t>MIDDELBURG (Mpumalanga)</t>
  </si>
  <si>
    <t xml:space="preserve">SUPPLYTECH (PTY) LTD               </t>
  </si>
  <si>
    <t>SUPPLYTECH  PTY  LTD</t>
  </si>
  <si>
    <t>K ROBBERTSE</t>
  </si>
  <si>
    <t xml:space="preserve">AEROSUD AVIATION (PTY) LTD PIE     </t>
  </si>
  <si>
    <t>AEROSUD AVIATION  PTY  LTD PIE</t>
  </si>
  <si>
    <t>THEMBALETHU</t>
  </si>
  <si>
    <t>0045</t>
  </si>
  <si>
    <t xml:space="preserve">meagen                        </t>
  </si>
  <si>
    <t xml:space="preserve">TEC SOUTH AND CENTRAL AFRICA P     </t>
  </si>
  <si>
    <t>TEC SOUTH AND CENTRAL AFRICA P</t>
  </si>
  <si>
    <t>Teballo</t>
  </si>
  <si>
    <t>LOLLITA</t>
  </si>
  <si>
    <t>Bheki</t>
  </si>
  <si>
    <t>Janine</t>
  </si>
  <si>
    <t>ZANDILE</t>
  </si>
  <si>
    <t xml:space="preserve">MARCOM PLASTICS PTY LTD            </t>
  </si>
  <si>
    <t>MARCOM PLASTICS</t>
  </si>
  <si>
    <t>MERRIAM</t>
  </si>
  <si>
    <t xml:space="preserve">WASSERTEC OZONE SYSTEMS            </t>
  </si>
  <si>
    <t>WASSERTEC OZONE SYSTEMS</t>
  </si>
  <si>
    <t>marrin</t>
  </si>
  <si>
    <t>MAHLE BEHR SOUTH AFRICA PTY LT</t>
  </si>
  <si>
    <t>m  shaik</t>
  </si>
  <si>
    <t>Vehicle breakdown</t>
  </si>
  <si>
    <t>abr</t>
  </si>
  <si>
    <t>EMI G</t>
  </si>
  <si>
    <t>LEACKY</t>
  </si>
  <si>
    <t>AYANDA</t>
  </si>
  <si>
    <t>Tshepang</t>
  </si>
  <si>
    <t xml:space="preserve">REPMA ENGINEERING (PTY) LTD        </t>
  </si>
  <si>
    <t>REPMA ENGINEERING  PTY  LTD</t>
  </si>
  <si>
    <t>John</t>
  </si>
  <si>
    <t xml:space="preserve">WINTERTIDE TRADING 69 T A P AN     </t>
  </si>
  <si>
    <t>WINTERTIDE TRADING 69 T A P AN</t>
  </si>
  <si>
    <t>Tivu</t>
  </si>
  <si>
    <t xml:space="preserve">DEBORAH                       </t>
  </si>
  <si>
    <t xml:space="preserve">HIGH-TECH CONTROLS (PTY) LTD       </t>
  </si>
  <si>
    <t>HIGH-TECH CONTROLS  PTY  LTD</t>
  </si>
  <si>
    <t>merlin</t>
  </si>
  <si>
    <t>POD received from cell 0605335750 M</t>
  </si>
  <si>
    <t>lona</t>
  </si>
  <si>
    <t xml:space="preserve">PG BISON (PTY) LTD  ORDER NUMB     </t>
  </si>
  <si>
    <t>PG BISON  PTY  LTD  ORDER NUMB</t>
  </si>
  <si>
    <t>Joe</t>
  </si>
  <si>
    <t>Robin</t>
  </si>
  <si>
    <t>siya</t>
  </si>
  <si>
    <t xml:space="preserve">TOPLINE TOOLING (PTY) LTD          </t>
  </si>
  <si>
    <t>TOPLINE TOOLING  PTY  LTD</t>
  </si>
  <si>
    <t>maxwell</t>
  </si>
  <si>
    <t>Freddie</t>
  </si>
  <si>
    <t xml:space="preserve">MAVIS                         </t>
  </si>
  <si>
    <t>Gongotha</t>
  </si>
  <si>
    <t>Dylan</t>
  </si>
  <si>
    <t>James</t>
  </si>
  <si>
    <t>penny</t>
  </si>
  <si>
    <t>Sandra</t>
  </si>
  <si>
    <t xml:space="preserve">andrecious                    </t>
  </si>
  <si>
    <t xml:space="preserve">rasiy                         </t>
  </si>
  <si>
    <t xml:space="preserve">POD received from cell 0843672221 M     </t>
  </si>
  <si>
    <t xml:space="preserve">FOODCORP (PTY) LTD BENONI          </t>
  </si>
  <si>
    <t>FOODCORP  PTY  LTD BENONI</t>
  </si>
  <si>
    <t>Raashid</t>
  </si>
  <si>
    <t>POD received from cell 0817257646 M</t>
  </si>
  <si>
    <t xml:space="preserve">Q-SOL PHARMA (PTY) LTD             </t>
  </si>
  <si>
    <t>Q-SOL PHARMA  PTY  LTD</t>
  </si>
  <si>
    <t>TUCKSURE</t>
  </si>
  <si>
    <t xml:space="preserve">Elize                         </t>
  </si>
  <si>
    <t xml:space="preserve">POD received from cell 0711146140 M     </t>
  </si>
  <si>
    <t>Adrian</t>
  </si>
  <si>
    <t>Craig</t>
  </si>
  <si>
    <t>POD received from cell 069914459 M</t>
  </si>
  <si>
    <t>Busiswa</t>
  </si>
  <si>
    <t>QUINTON</t>
  </si>
  <si>
    <t xml:space="preserve">FESTO DURBAN  SUITE 107A           </t>
  </si>
  <si>
    <t>FESTO DURBAN  SUITE 107A</t>
  </si>
  <si>
    <t>MARK</t>
  </si>
  <si>
    <t>marno</t>
  </si>
  <si>
    <t>POD received from cell 0722478975 M</t>
  </si>
  <si>
    <t>Madillo</t>
  </si>
  <si>
    <t>POD received from cell 0814028850 M</t>
  </si>
  <si>
    <t xml:space="preserve">MAIN STREET 1310(PTY) LTD T A      </t>
  </si>
  <si>
    <t>MAIN STREET 1310 PTY  LTD T A</t>
  </si>
  <si>
    <t>NOKUKHANYA</t>
  </si>
  <si>
    <t>BMO</t>
  </si>
  <si>
    <t>Patricia</t>
  </si>
  <si>
    <t>POD received from cell 0699631211 M</t>
  </si>
  <si>
    <t xml:space="preserve">ENPROTEC ENVIROMENTAL   PROCES     </t>
  </si>
  <si>
    <t>ENPROTEC ENVIROMENTAL   PROCES</t>
  </si>
  <si>
    <t>hlaphe</t>
  </si>
  <si>
    <t xml:space="preserve">JAPIE                         </t>
  </si>
  <si>
    <t>Nondumiso</t>
  </si>
  <si>
    <t xml:space="preserve">LEACKY                        </t>
  </si>
  <si>
    <t>reece</t>
  </si>
  <si>
    <t>MARY</t>
  </si>
  <si>
    <t xml:space="preserve">BRANDLINE PACKAGING (PTY) LTD      </t>
  </si>
  <si>
    <t>BRANDLINE PACKAGING  PTY  LTD</t>
  </si>
  <si>
    <t>charity</t>
  </si>
  <si>
    <t xml:space="preserve">whitney                       </t>
  </si>
  <si>
    <t>melisi</t>
  </si>
  <si>
    <t xml:space="preserve">ALBANY BAKERS A DIV OF TIGER C     </t>
  </si>
  <si>
    <t>ALBANY BAKERS A DIV OF TIGER C</t>
  </si>
  <si>
    <t>nontobeko</t>
  </si>
  <si>
    <t>POD received from cell 0685390657 M</t>
  </si>
  <si>
    <t>nico</t>
  </si>
  <si>
    <t>lweni</t>
  </si>
  <si>
    <t xml:space="preserve">LINDE AND WIEMANN (PTY) LTD SU     </t>
  </si>
  <si>
    <t>LINDE AND WIEMANN  PTY  LTD SU</t>
  </si>
  <si>
    <t>rebecca</t>
  </si>
  <si>
    <t>abbbaas</t>
  </si>
  <si>
    <t>TRYMORE</t>
  </si>
  <si>
    <t xml:space="preserve">andrew                        </t>
  </si>
  <si>
    <t xml:space="preserve">BAIC AUTOMOTIVE GROUP CO LTD       </t>
  </si>
  <si>
    <t>BAIC AUTOMOTIVE GROUP CO LTD</t>
  </si>
  <si>
    <t>landzela</t>
  </si>
  <si>
    <t>GOODMAN</t>
  </si>
  <si>
    <t>lathon</t>
  </si>
  <si>
    <t>UDO</t>
  </si>
  <si>
    <t>Candice</t>
  </si>
  <si>
    <t>Sindiswa</t>
  </si>
  <si>
    <t>t makgafela</t>
  </si>
  <si>
    <t xml:space="preserve">NAMPAK CLOSURES EPPING 2 CAPE      </t>
  </si>
  <si>
    <t>NAMPAK CLOSURES EPPING 2 CAPE</t>
  </si>
  <si>
    <t xml:space="preserve">Mongelisa                     </t>
  </si>
  <si>
    <t>DAJ</t>
  </si>
  <si>
    <t>ZENANI</t>
  </si>
  <si>
    <t xml:space="preserve">CONTROL SYSTEMS RUSTENBURG         </t>
  </si>
  <si>
    <t>CONTROL SYSTEMS RUSTENBURG</t>
  </si>
  <si>
    <t>MAELZE</t>
  </si>
  <si>
    <t>ora</t>
  </si>
  <si>
    <t>0299</t>
  </si>
  <si>
    <t xml:space="preserve">AMROD COPORATE SOLUTION (PTY)      </t>
  </si>
  <si>
    <t>AMROD COPORATE SOLUTION  PTY</t>
  </si>
  <si>
    <t>POD received from cell 0732219682 M</t>
  </si>
  <si>
    <t xml:space="preserve">Niren                         </t>
  </si>
  <si>
    <t>JEMINA</t>
  </si>
  <si>
    <t xml:space="preserve">NIKESH                        </t>
  </si>
  <si>
    <t xml:space="preserve">POD received from cell 0661437222 M     </t>
  </si>
  <si>
    <t xml:space="preserve">ZF LEMFORDER SA LTD                </t>
  </si>
  <si>
    <t>ZF LEMFORDER SA LTD</t>
  </si>
  <si>
    <t>deina</t>
  </si>
  <si>
    <t xml:space="preserve">priest                        </t>
  </si>
  <si>
    <t>eacelan</t>
  </si>
  <si>
    <t xml:space="preserve">kreolen                       </t>
  </si>
  <si>
    <t xml:space="preserve">POD received from cell 0672223699 M     </t>
  </si>
  <si>
    <t xml:space="preserve">ADCOCK INGRAM HEALTHCARE (PTY)     </t>
  </si>
  <si>
    <t>ADCOCK INGRAM HEALTHCARE  PTY</t>
  </si>
  <si>
    <t>Isaac</t>
  </si>
  <si>
    <t xml:space="preserve">stomach                       </t>
  </si>
  <si>
    <t xml:space="preserve">POD received from cell 0606520943 M     </t>
  </si>
  <si>
    <t>deana</t>
  </si>
  <si>
    <t xml:space="preserve">ITHEMBA LABS                       </t>
  </si>
  <si>
    <t>ITHEMBA LABS</t>
  </si>
  <si>
    <t>stew</t>
  </si>
  <si>
    <t>POD received from cell 0637746166 M</t>
  </si>
  <si>
    <t xml:space="preserve">TIGER CONSUMER BRANDS LTD T A      </t>
  </si>
  <si>
    <t>TIGER CONSUMER BRANDS LTD T A</t>
  </si>
  <si>
    <t>elmien</t>
  </si>
  <si>
    <t>MANGALISO</t>
  </si>
  <si>
    <t xml:space="preserve">Asanda                        </t>
  </si>
  <si>
    <t xml:space="preserve">CTP PRINTERS JOHANNESBURG          </t>
  </si>
  <si>
    <t>CTP PRINTERS JOHANNESBURG</t>
  </si>
  <si>
    <t xml:space="preserve">s bonga                       </t>
  </si>
  <si>
    <t xml:space="preserve">PICOLA FOODS BRITS                 </t>
  </si>
  <si>
    <t>PICOLA FOODS BRITS</t>
  </si>
  <si>
    <t>BISHOP</t>
  </si>
  <si>
    <t xml:space="preserve">CORRUSEAL CORRUGATED GAUTENG P     </t>
  </si>
  <si>
    <t>CORRUSEAL CORRUGATED GAUTENG P</t>
  </si>
  <si>
    <t>Joel</t>
  </si>
  <si>
    <t xml:space="preserve">Thandeka                      </t>
  </si>
  <si>
    <t>desnay</t>
  </si>
  <si>
    <t xml:space="preserve">RHOVAN POOLING   SHARING VENTU     </t>
  </si>
  <si>
    <t>RHOVAN POOLING   SHARING VENTU</t>
  </si>
  <si>
    <t>0270</t>
  </si>
  <si>
    <t>candice</t>
  </si>
  <si>
    <t>anand</t>
  </si>
  <si>
    <t xml:space="preserve">CHW Design                         </t>
  </si>
  <si>
    <t>Chantell Lomax</t>
  </si>
  <si>
    <t>karenesa</t>
  </si>
  <si>
    <t>althea</t>
  </si>
  <si>
    <t xml:space="preserve">LEONARD DINGLER ( PTY) LTD PRO     </t>
  </si>
  <si>
    <t>LEONARD DINGLER   PTY  LTD PRO</t>
  </si>
  <si>
    <t>Minah</t>
  </si>
  <si>
    <t xml:space="preserve">Kreolen                       </t>
  </si>
  <si>
    <t xml:space="preserve">EGLI PRECISION ENGINEERING PTY     </t>
  </si>
  <si>
    <t>EGLI PRECISION ENGINEERING PTY</t>
  </si>
  <si>
    <t>Kamesan</t>
  </si>
  <si>
    <t xml:space="preserve">Moses                         </t>
  </si>
  <si>
    <t xml:space="preserve">POD received from cell 0671865619 M     </t>
  </si>
  <si>
    <t>sam</t>
  </si>
  <si>
    <t>Elmon</t>
  </si>
  <si>
    <t>Sindile</t>
  </si>
  <si>
    <t>Nondu</t>
  </si>
  <si>
    <t>baxelele</t>
  </si>
  <si>
    <t xml:space="preserve">ENTYCE BEVERAGES  DIVISION OF      </t>
  </si>
  <si>
    <t>ENTYCE BEVERAGES  DIVISION OF</t>
  </si>
  <si>
    <t>vukani</t>
  </si>
  <si>
    <t xml:space="preserve">FAIR CAPE DAIRIES (PTY) LTD        </t>
  </si>
  <si>
    <t>FAIR CAPE DAIRIES  PTY  LTD</t>
  </si>
  <si>
    <t>neville</t>
  </si>
  <si>
    <t xml:space="preserve">Samuel                        </t>
  </si>
  <si>
    <t xml:space="preserve">POD received from cell 0791069864 M     </t>
  </si>
  <si>
    <t xml:space="preserve">RHEINMETALL DENEL MUNITION PTY     </t>
  </si>
  <si>
    <t>RHEINMETALL DENEL MUNITION PTY</t>
  </si>
  <si>
    <t xml:space="preserve">PRO PROJECT MACHINERY ( PTY )      </t>
  </si>
  <si>
    <t>PRO PROJECT MACHINERY   PTY</t>
  </si>
  <si>
    <t>Mohammed</t>
  </si>
  <si>
    <t xml:space="preserve">SIME DARBY OILS SOUTH AFRICA (     </t>
  </si>
  <si>
    <t>SIME DARBY OILS SOUTH AFRICA</t>
  </si>
  <si>
    <t>MANTHOSI</t>
  </si>
  <si>
    <t xml:space="preserve">PRECISION METAL PRODUCTS           </t>
  </si>
  <si>
    <t>PRECISION METAL PRODUCTS</t>
  </si>
  <si>
    <t>wonder</t>
  </si>
  <si>
    <t>Noma</t>
  </si>
  <si>
    <t>Jason</t>
  </si>
  <si>
    <t xml:space="preserve">UV+IR ENGINEERING (PTY) LTD        </t>
  </si>
  <si>
    <t>UVIR ENGINEERING  PTY  LTD</t>
  </si>
  <si>
    <t>joyce</t>
  </si>
  <si>
    <t xml:space="preserve">GREIF S.A PTY LTD                  </t>
  </si>
  <si>
    <t>GREIF S.A PTY LTD</t>
  </si>
  <si>
    <t>KABELO</t>
  </si>
  <si>
    <t xml:space="preserve">GRUPO-ANTOLIN (PTY) LTD            </t>
  </si>
  <si>
    <t>GRUPO-ANTOLIN  PTY  LTD</t>
  </si>
  <si>
    <t>sinamile</t>
  </si>
  <si>
    <t>POD received from cell 0648430182 M</t>
  </si>
  <si>
    <t xml:space="preserve">MYRON                         </t>
  </si>
  <si>
    <t xml:space="preserve">CHANTELLE                     </t>
  </si>
  <si>
    <t>SUWELLEN</t>
  </si>
  <si>
    <t>ilke</t>
  </si>
  <si>
    <t>Lucky</t>
  </si>
  <si>
    <t>layton</t>
  </si>
  <si>
    <t xml:space="preserve">SAMANCOR TC SMELTERS               </t>
  </si>
  <si>
    <t>SAMANCOR TC SMELTERS</t>
  </si>
  <si>
    <t>0325</t>
  </si>
  <si>
    <t>Anzelle</t>
  </si>
  <si>
    <t>POD received from cell 0768853023 M</t>
  </si>
  <si>
    <t>Manny</t>
  </si>
  <si>
    <t xml:space="preserve">HOT PLATINUM PTY                   </t>
  </si>
  <si>
    <t>HOT PLATINUM PTY</t>
  </si>
  <si>
    <t>Amina</t>
  </si>
  <si>
    <t>POD received from cell 0833656676 M</t>
  </si>
  <si>
    <t xml:space="preserve">EIGER ENGINEERING (PTY) LTD        </t>
  </si>
  <si>
    <t>EIGER ENGINEERING  PTY  LTD</t>
  </si>
  <si>
    <t xml:space="preserve">ENGLER OILESS PTY LTD              </t>
  </si>
  <si>
    <t>ENGLER OILESS PTY LTD</t>
  </si>
  <si>
    <t>olwetu</t>
  </si>
  <si>
    <t>Arthur</t>
  </si>
  <si>
    <t xml:space="preserve">AFRICA                        </t>
  </si>
  <si>
    <t>medwin</t>
  </si>
  <si>
    <t xml:space="preserve">CSIR PRETORIA- PRISCILLA LESEL     </t>
  </si>
  <si>
    <t>CSIR PRETORIA- PRISCILLA LESEL</t>
  </si>
  <si>
    <t>PRISCILLA</t>
  </si>
  <si>
    <t xml:space="preserve">UNIVERSAL CLIPS PTY LTD            </t>
  </si>
  <si>
    <t>UNIVERSAL CLIPS PTY LTD</t>
  </si>
  <si>
    <t>cherna</t>
  </si>
  <si>
    <t>BILLY</t>
  </si>
  <si>
    <t>Penny</t>
  </si>
  <si>
    <t xml:space="preserve">BIC SA (PTY) LTD                   </t>
  </si>
  <si>
    <t>BIC SA PTY LTD</t>
  </si>
  <si>
    <t>tshego</t>
  </si>
  <si>
    <t>POD received from cell 0797695335 M</t>
  </si>
  <si>
    <t xml:space="preserve">MODIMAD CC                         </t>
  </si>
  <si>
    <t>MODIMAD CC</t>
  </si>
  <si>
    <t>tracy</t>
  </si>
  <si>
    <t>Eaclon</t>
  </si>
  <si>
    <t>innocent</t>
  </si>
  <si>
    <t xml:space="preserve">DURASET STRATA CONTROL (PTY) L     </t>
  </si>
  <si>
    <t>DURASET STRATA CONTROL  PTY  L</t>
  </si>
  <si>
    <t>Darlington</t>
  </si>
  <si>
    <t xml:space="preserve">PROPET S.A (PTY) LTD               </t>
  </si>
  <si>
    <t>PROPET S.A  PTY  LTD</t>
  </si>
  <si>
    <t>selwyn</t>
  </si>
  <si>
    <t xml:space="preserve">THE SIMBA GROUP LTD MAIN AIRPO     </t>
  </si>
  <si>
    <t>THE SIMBA GROUP LTD MAIN AIRPO</t>
  </si>
  <si>
    <t>sphamandla</t>
  </si>
  <si>
    <t>GLARANCE</t>
  </si>
  <si>
    <t>PIET</t>
  </si>
  <si>
    <t>PIET RETIEF</t>
  </si>
  <si>
    <t xml:space="preserve">HCH ELECTRIC CC                    </t>
  </si>
  <si>
    <t>HCH ELECTRIC CC</t>
  </si>
  <si>
    <t>RUAN</t>
  </si>
  <si>
    <t xml:space="preserve">COCA-COLA BEVERAGES S.A CLAYVI     </t>
  </si>
  <si>
    <t>COCA-COLA BEVERAGES S.A    SOL</t>
  </si>
  <si>
    <t>KGOTHATSO</t>
  </si>
  <si>
    <t>0082</t>
  </si>
  <si>
    <t>emmeth</t>
  </si>
  <si>
    <t xml:space="preserve">POLYOAK PACKAGING PTY LTD          </t>
  </si>
  <si>
    <t>POLYOAK PACKAGING PTY LTD</t>
  </si>
  <si>
    <t>beytel</t>
  </si>
  <si>
    <t xml:space="preserve">SOLID PROCESS AUTIOMATION PTY      </t>
  </si>
  <si>
    <t>SOLID PROCESS AUTIOMATION PTY</t>
  </si>
  <si>
    <t xml:space="preserve">PROXA STORE JHB MODDERFONTEIN      </t>
  </si>
  <si>
    <t>PROXA STORE JHB MODDERFONTEIN</t>
  </si>
  <si>
    <t>KHANYISA</t>
  </si>
  <si>
    <t>NOLUTHANDO</t>
  </si>
  <si>
    <t>thuli</t>
  </si>
  <si>
    <t>bonga</t>
  </si>
  <si>
    <t xml:space="preserve">ASTRA INDUSTRIAL INNOVATIONS (     </t>
  </si>
  <si>
    <t>ASTRA INDUSTRIAL INNOVATIONS</t>
  </si>
  <si>
    <t>rofhiwa</t>
  </si>
  <si>
    <t>ZOLANI</t>
  </si>
  <si>
    <t xml:space="preserve">TECHNICAL PRECISE SOLUTIONS (P     </t>
  </si>
  <si>
    <t>TECHNICAL PRECISE SOLUTIONS  P</t>
  </si>
  <si>
    <t>LISA</t>
  </si>
  <si>
    <t xml:space="preserve">AMETIS PROJECTS CC                 </t>
  </si>
  <si>
    <t>AMETIS PROJECTS</t>
  </si>
  <si>
    <t>ANTON</t>
  </si>
  <si>
    <t xml:space="preserve">Auto Industrial                    </t>
  </si>
  <si>
    <t>Gerhard Coetzee</t>
  </si>
  <si>
    <t xml:space="preserve">CIM Automation                     </t>
  </si>
  <si>
    <t>EXTREMELY FRAGILE HANDLE WITH CARE</t>
  </si>
  <si>
    <t>Janelle Adams</t>
  </si>
  <si>
    <t xml:space="preserve">Ardagh Glass                       </t>
  </si>
  <si>
    <t>Madillo Khumalo</t>
  </si>
  <si>
    <t xml:space="preserve">Autopac                            </t>
  </si>
  <si>
    <t>Melanie Salgueiro</t>
  </si>
  <si>
    <t>kanenesl</t>
  </si>
  <si>
    <t>prisilla</t>
  </si>
  <si>
    <t xml:space="preserve">IEPS TRADING CC IEPS WAREHOUSE     </t>
  </si>
  <si>
    <t>IEPS TRADING CC IEPS WAREHOUSE</t>
  </si>
  <si>
    <t>ZELDINE</t>
  </si>
  <si>
    <t xml:space="preserve">LIPTON TEAS AND INFUSION MANUF     </t>
  </si>
  <si>
    <t>LIPTON TEAS AND INFUSION MANUF</t>
  </si>
  <si>
    <t xml:space="preserve">ANDERSON ENGINEERING FOOD AND      </t>
  </si>
  <si>
    <t>ANDERSON ENGINEERING FOOD AND</t>
  </si>
  <si>
    <t>Lewis</t>
  </si>
  <si>
    <t>VERUL</t>
  </si>
  <si>
    <t>VERULAM</t>
  </si>
  <si>
    <t xml:space="preserve">HUHTAMAKI FLEXIBLE PACKAGING S     </t>
  </si>
  <si>
    <t>HUHTAMAKI FLEXIBLE PACKAGING S</t>
  </si>
  <si>
    <t>POD received from cell 0847863055 M</t>
  </si>
  <si>
    <t xml:space="preserve">VIDEX WIRE PRODUCTS (PTY) LTD      </t>
  </si>
  <si>
    <t>VIDEX WIRE PRODUCTS  PTY  LTD</t>
  </si>
  <si>
    <t>Eddie Kekana</t>
  </si>
  <si>
    <t>Kauegain</t>
  </si>
  <si>
    <t xml:space="preserve">SKYNET DEPOT EAST LONDON (Patr     </t>
  </si>
  <si>
    <t>SKYNET DEPOT EAST LONDON  Patr</t>
  </si>
  <si>
    <t>KONNY</t>
  </si>
  <si>
    <t>Morris</t>
  </si>
  <si>
    <t xml:space="preserve">WEIR MINERALS ISANDO               </t>
  </si>
  <si>
    <t>WEIR MINERALS ISANDO</t>
  </si>
  <si>
    <t xml:space="preserve">PROVAL ACTUATION SA (PTY) LTD      </t>
  </si>
  <si>
    <t>PROVAL ACTUATION SA  PTY  LTD</t>
  </si>
  <si>
    <t>Bongani</t>
  </si>
  <si>
    <t xml:space="preserve">BOWLER PLASTICS (PTY) LTD PHIL     </t>
  </si>
  <si>
    <t>BOWLER PLASTICS  PTY  LTD PHIL</t>
  </si>
  <si>
    <t xml:space="preserve">LACTALIS SOUTH AFRICA PTY LTD      </t>
  </si>
  <si>
    <t>LACTALIS SOUTH AFRICA PTY LTD</t>
  </si>
  <si>
    <t>0407</t>
  </si>
  <si>
    <t xml:space="preserve">KW BREAD PACKAGING SYSTEMS CC      </t>
  </si>
  <si>
    <t>KW BREAD PACKAGING SYSTEMS CC</t>
  </si>
  <si>
    <t xml:space="preserve">LINDE AND WIEMANN (PTY) LTD        </t>
  </si>
  <si>
    <t>LINDE AND WIEMANN  PTY  LTD</t>
  </si>
  <si>
    <t xml:space="preserve">SUPERIOR PACKAGING INDUSTRIES      </t>
  </si>
  <si>
    <t>SUPERIOR PACKAGING INDUSTRIES</t>
  </si>
  <si>
    <t>UMBOG</t>
  </si>
  <si>
    <t>UMBOGINTWINI</t>
  </si>
  <si>
    <t xml:space="preserve">RYMCO PTY LTD T A ANCHOR YEAST     </t>
  </si>
  <si>
    <t>RYMCO</t>
  </si>
  <si>
    <t xml:space="preserve">TEC SOUTH AND CENTRAL AFRICA       </t>
  </si>
  <si>
    <t>TEC SOUTH AND CENTRAL AFRICA</t>
  </si>
  <si>
    <t xml:space="preserve">TOYOTA SA MOTORS PTY LTD           </t>
  </si>
  <si>
    <t>TOYOTA SA MOTORS PTY LTD STAMP</t>
  </si>
  <si>
    <t xml:space="preserve">GENERAL  PNEUMATICS                </t>
  </si>
  <si>
    <t>GENERAL  PNEUMATICS</t>
  </si>
  <si>
    <t xml:space="preserve">PITSANA MILLS PTY LTD              </t>
  </si>
  <si>
    <t>PITSANA MILLS PTY LTD</t>
  </si>
  <si>
    <t xml:space="preserve">BEARINGS ON CC                     </t>
  </si>
  <si>
    <t>BEARINGS ON CC</t>
  </si>
  <si>
    <t xml:space="preserve">THE SIMBA GROUP LTD                </t>
  </si>
  <si>
    <t>THE SIMBA GROUP</t>
  </si>
  <si>
    <t xml:space="preserve">SPRINGS BEE GEE ELECT WHOLE CC     </t>
  </si>
  <si>
    <t>SPRINGS BEE GEE ELECT WHOLE CC</t>
  </si>
  <si>
    <t xml:space="preserve">UNIVERSITY OF STELLENBOSCH         </t>
  </si>
  <si>
    <t>UNIVERSITY OF STELLENBOSCH</t>
  </si>
  <si>
    <t xml:space="preserve">KELPACK MANUFACTURING (PTY) LT     </t>
  </si>
  <si>
    <t>KELPACK MANUFACTURING  PTY  LT</t>
  </si>
  <si>
    <t xml:space="preserve">TIGER BRANDS SNACKS   TREATS       </t>
  </si>
  <si>
    <t>TIGER BRANDS SNACKS   TREATS</t>
  </si>
  <si>
    <t xml:space="preserve">CLOVER SA (PTY) LTD NCD SENTRA     </t>
  </si>
  <si>
    <t>CLOVER SA  PTY  LTD NCD SENTRA</t>
  </si>
  <si>
    <t xml:space="preserve">RFG FOODS (PTY) LTD FRANKENWAL     </t>
  </si>
  <si>
    <t>RFG FOODS  PTY  LTD FRANKENWAL</t>
  </si>
  <si>
    <t xml:space="preserve">RCL FOODS CONSUMER (PTY) LTD       </t>
  </si>
  <si>
    <t>RCL FOODS CONSUMER  PTY  LTD</t>
  </si>
  <si>
    <t xml:space="preserve">MACSTEEL COIL PROCESSING           </t>
  </si>
  <si>
    <t>MACSTEEL COIL PROCESSING</t>
  </si>
  <si>
    <t>Kanyane</t>
  </si>
  <si>
    <t xml:space="preserve">SOUTH AFRICAN BANK NOTE CC         </t>
  </si>
  <si>
    <t>SOUTH AFRICAN BANK NOTE CC</t>
  </si>
  <si>
    <t>0116</t>
  </si>
  <si>
    <t xml:space="preserve">CLOVER SA PTY LTD PERSEVERANCE     </t>
  </si>
  <si>
    <t>CLOVER SA PTY LTD PERSEVERANCE</t>
  </si>
  <si>
    <t xml:space="preserve">CLOVER SA (PTY) LTD                </t>
  </si>
  <si>
    <t>CLOVER SA  PTY  LTD</t>
  </si>
  <si>
    <t>zimba</t>
  </si>
  <si>
    <t xml:space="preserve">GRW ENGINEERING (PTY) LTD          </t>
  </si>
  <si>
    <t>GRW ENGINEERING  PTY  LTD</t>
  </si>
  <si>
    <t xml:space="preserve">BAILEYS PEGS 2000 PTY LTD GREY     </t>
  </si>
  <si>
    <t>BAILEYS PEGS 2000 PTY LTD GREY</t>
  </si>
  <si>
    <t xml:space="preserve">INGRAIN SA (PTY) LTD BELLVILLE     </t>
  </si>
  <si>
    <t>INGRAIN SA  PTY  LTD BELLVILLE</t>
  </si>
  <si>
    <t>RYMCO PTY LTD T A ANCHOR YEAST</t>
  </si>
  <si>
    <t xml:space="preserve">FACTORY AUTOMATION AND ENGINEE     </t>
  </si>
  <si>
    <t>FACTORY AUTOMATION AND ENGINEE</t>
  </si>
  <si>
    <t>0017</t>
  </si>
  <si>
    <t xml:space="preserve">INHLE NEW OPCO PROPRIETARY LIM     </t>
  </si>
  <si>
    <t>INHLE NEW OPCO PROPRIETARY LIM</t>
  </si>
  <si>
    <t>SOME1</t>
  </si>
  <si>
    <t>SOMERSET EAST</t>
  </si>
  <si>
    <t xml:space="preserve">P.J. ENGINEERING                   </t>
  </si>
  <si>
    <t>P.J. ENGINEERING</t>
  </si>
  <si>
    <t xml:space="preserve">SHONES AUTOMATION (PTY) LTD        </t>
  </si>
  <si>
    <t>SHONES AUTOMATION  PTY  LTD</t>
  </si>
  <si>
    <t>sithembile</t>
  </si>
  <si>
    <t>SABIE</t>
  </si>
  <si>
    <t xml:space="preserve">PAUL KRUGER PA SAMPLES             </t>
  </si>
  <si>
    <t>PAUL KRUGER PA SAMPLES</t>
  </si>
  <si>
    <t xml:space="preserve">PREMIER FMCG (PTY) LTD ELANDSF     </t>
  </si>
  <si>
    <t>PREMIER FMCG  PTY  LTD ELANDSF</t>
  </si>
  <si>
    <t xml:space="preserve">FILTAQUIP (PTY)LTD DIE HEUWEL      </t>
  </si>
  <si>
    <t>FILTAQUIP  PTY LTD DIE HEUWEL</t>
  </si>
  <si>
    <t xml:space="preserve">CLAYVILLE NUTRITIONALS (PTY) L     </t>
  </si>
  <si>
    <t>CLAYVILLE NUTRITIONALS  PTY  L</t>
  </si>
  <si>
    <t>nico fourie</t>
  </si>
  <si>
    <t xml:space="preserve">TRUDA FOODS (PTY) LTD              </t>
  </si>
  <si>
    <t>TRUDA FOODS  PTY  LTD</t>
  </si>
  <si>
    <t xml:space="preserve">I AM AUTOMATION                    </t>
  </si>
  <si>
    <t>I AM AUTOMATION</t>
  </si>
  <si>
    <t xml:space="preserve">FESTO CAPE TOWN                    </t>
  </si>
  <si>
    <t xml:space="preserve">STONE THREE IMPACT                 </t>
  </si>
  <si>
    <t>ANRI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</si>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</sst>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5"/>
      <color rgb="FF33333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medium">
        <color rgb="FFDDDDDD"/>
      </left>
      <right/>
      <top style="medium">
        <color rgb="FFDDDDDD"/>
      </top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14" fontId="0" fillId="0" borderId="0" xfId="0" applyNumberFormat="1"/>
    <xf numFmtId="20" fontId="0" fillId="0" borderId="0" xfId="0" applyNumberFormat="1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9B104-D018-4548-9D56-D55C92CF8C8D}">
  <dimension ref="A1:CN1692"/>
  <sheetViews>
    <sheetView tabSelected="1" topLeftCell="A1682" workbookViewId="0">
      <selection activeCell="A1693" sqref="A1693:XFD2295"/>
    </sheetView>
  </sheetViews>
  <sheetFormatPr defaultRowHeight="14.4" x14ac:dyDescent="0.3"/>
  <sheetData>
    <row r="1" spans="1:92" ht="15" thickBo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17</v>
      </c>
      <c r="U1" s="1" t="s">
        <v>19</v>
      </c>
      <c r="V1" s="1" t="s">
        <v>17</v>
      </c>
      <c r="W1" s="1" t="s">
        <v>20</v>
      </c>
      <c r="X1" s="1" t="s">
        <v>17</v>
      </c>
      <c r="Y1" s="1" t="s">
        <v>21</v>
      </c>
      <c r="Z1" s="1" t="s">
        <v>17</v>
      </c>
      <c r="AA1" s="1" t="s">
        <v>22</v>
      </c>
      <c r="AB1" s="1" t="s">
        <v>17</v>
      </c>
      <c r="AC1" s="1" t="s">
        <v>23</v>
      </c>
      <c r="AD1" s="1" t="s">
        <v>17</v>
      </c>
      <c r="AE1" s="1" t="s">
        <v>24</v>
      </c>
      <c r="AF1" s="1" t="s">
        <v>17</v>
      </c>
      <c r="AG1" s="1" t="s">
        <v>25</v>
      </c>
      <c r="AH1" s="1" t="s">
        <v>17</v>
      </c>
      <c r="AI1" s="1" t="s">
        <v>26</v>
      </c>
      <c r="AJ1" s="1" t="s">
        <v>17</v>
      </c>
      <c r="AK1" s="1" t="s">
        <v>27</v>
      </c>
      <c r="AL1" s="1" t="s">
        <v>17</v>
      </c>
      <c r="AM1" s="1" t="s">
        <v>28</v>
      </c>
      <c r="AN1" s="1" t="s">
        <v>17</v>
      </c>
      <c r="AO1" s="1" t="s">
        <v>29</v>
      </c>
      <c r="AP1" s="1" t="s">
        <v>17</v>
      </c>
      <c r="AQ1" s="1" t="s">
        <v>30</v>
      </c>
      <c r="AR1" s="1" t="s">
        <v>17</v>
      </c>
      <c r="AS1" s="1" t="s">
        <v>31</v>
      </c>
      <c r="AT1" s="1" t="s">
        <v>17</v>
      </c>
      <c r="AU1" s="1" t="s">
        <v>32</v>
      </c>
      <c r="AV1" s="1" t="s">
        <v>17</v>
      </c>
      <c r="AW1" s="1" t="s">
        <v>33</v>
      </c>
      <c r="AX1" s="1" t="s">
        <v>17</v>
      </c>
      <c r="AY1" s="1" t="s">
        <v>34</v>
      </c>
      <c r="AZ1" s="1" t="s">
        <v>17</v>
      </c>
      <c r="BA1" s="1" t="s">
        <v>35</v>
      </c>
      <c r="BB1" s="1" t="s">
        <v>17</v>
      </c>
      <c r="BC1" s="1" t="s">
        <v>36</v>
      </c>
      <c r="BD1" s="1" t="s">
        <v>17</v>
      </c>
      <c r="BE1" s="1" t="s">
        <v>37</v>
      </c>
      <c r="BF1" s="1" t="s">
        <v>17</v>
      </c>
      <c r="BG1" s="1" t="s">
        <v>38</v>
      </c>
      <c r="BH1" s="1" t="s">
        <v>39</v>
      </c>
      <c r="BI1" s="1" t="s">
        <v>40</v>
      </c>
      <c r="BJ1" s="1" t="s">
        <v>41</v>
      </c>
      <c r="BK1" s="1" t="s">
        <v>42</v>
      </c>
      <c r="BL1" s="1" t="s">
        <v>43</v>
      </c>
      <c r="BM1" s="1" t="s">
        <v>44</v>
      </c>
      <c r="BN1" s="1" t="s">
        <v>45</v>
      </c>
      <c r="BO1" s="1" t="s">
        <v>46</v>
      </c>
      <c r="BP1" s="1" t="s">
        <v>47</v>
      </c>
      <c r="BQ1" s="1" t="s">
        <v>48</v>
      </c>
      <c r="BR1" s="1" t="s">
        <v>49</v>
      </c>
      <c r="BS1" s="1" t="s">
        <v>50</v>
      </c>
      <c r="BT1" s="1" t="s">
        <v>51</v>
      </c>
      <c r="BU1" s="1" t="s">
        <v>52</v>
      </c>
      <c r="BV1" s="1" t="s">
        <v>53</v>
      </c>
      <c r="BW1" s="1" t="s">
        <v>54</v>
      </c>
      <c r="BX1" s="1" t="s">
        <v>55</v>
      </c>
      <c r="BY1" s="1" t="s">
        <v>56</v>
      </c>
      <c r="BZ1" s="1" t="s">
        <v>57</v>
      </c>
      <c r="CA1" s="1" t="s">
        <v>58</v>
      </c>
      <c r="CB1" s="1" t="s">
        <v>59</v>
      </c>
      <c r="CC1" s="1" t="s">
        <v>60</v>
      </c>
      <c r="CD1" s="1" t="s">
        <v>61</v>
      </c>
      <c r="CE1" s="1" t="s">
        <v>62</v>
      </c>
      <c r="CF1" s="1" t="s">
        <v>63</v>
      </c>
      <c r="CG1" s="1" t="s">
        <v>64</v>
      </c>
      <c r="CH1" s="1" t="s">
        <v>65</v>
      </c>
      <c r="CI1" s="1" t="s">
        <v>66</v>
      </c>
      <c r="CJ1" s="1" t="s">
        <v>67</v>
      </c>
      <c r="CK1" s="1" t="s">
        <v>68</v>
      </c>
      <c r="CL1" s="1" t="s">
        <v>69</v>
      </c>
      <c r="CM1" s="1" t="s">
        <v>70</v>
      </c>
      <c r="CN1" s="2" t="s">
        <v>71</v>
      </c>
    </row>
    <row r="2" spans="1:92" x14ac:dyDescent="0.3">
      <c r="A2" t="s">
        <v>72</v>
      </c>
      <c r="B2" t="s">
        <v>73</v>
      </c>
      <c r="C2" t="s">
        <v>74</v>
      </c>
      <c r="E2" t="str">
        <f>"080069573630"</f>
        <v>080069573630</v>
      </c>
      <c r="F2" s="3">
        <v>45992</v>
      </c>
      <c r="G2">
        <v>202609</v>
      </c>
      <c r="H2" t="s">
        <v>75</v>
      </c>
      <c r="I2" t="s">
        <v>76</v>
      </c>
      <c r="J2" t="s">
        <v>77</v>
      </c>
      <c r="K2" t="s">
        <v>78</v>
      </c>
      <c r="L2" t="s">
        <v>75</v>
      </c>
      <c r="M2" t="s">
        <v>76</v>
      </c>
      <c r="N2" t="s">
        <v>79</v>
      </c>
      <c r="O2" t="s">
        <v>80</v>
      </c>
      <c r="P2" t="str">
        <f>"4170071069                    "</f>
        <v xml:space="preserve">4170071069                    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66.099999999999994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2</v>
      </c>
      <c r="BI2">
        <v>28</v>
      </c>
      <c r="BJ2">
        <v>48.6</v>
      </c>
      <c r="BK2">
        <v>49</v>
      </c>
      <c r="BL2">
        <v>222.42</v>
      </c>
      <c r="BM2">
        <v>33.36</v>
      </c>
      <c r="BN2">
        <v>255.78</v>
      </c>
      <c r="BO2">
        <v>255.78</v>
      </c>
      <c r="BQ2" t="s">
        <v>81</v>
      </c>
      <c r="BR2" t="s">
        <v>82</v>
      </c>
      <c r="BS2" s="3">
        <v>45993</v>
      </c>
      <c r="BT2" s="4">
        <v>0.4375</v>
      </c>
      <c r="BU2" t="s">
        <v>83</v>
      </c>
      <c r="BV2" t="s">
        <v>84</v>
      </c>
      <c r="BY2">
        <v>242880</v>
      </c>
      <c r="CA2" t="s">
        <v>85</v>
      </c>
      <c r="CC2" t="s">
        <v>76</v>
      </c>
      <c r="CD2">
        <v>1619</v>
      </c>
      <c r="CE2" t="s">
        <v>86</v>
      </c>
      <c r="CF2" s="3">
        <v>45994</v>
      </c>
      <c r="CI2">
        <v>1</v>
      </c>
      <c r="CJ2">
        <v>1</v>
      </c>
      <c r="CK2">
        <v>42</v>
      </c>
      <c r="CL2" t="s">
        <v>87</v>
      </c>
    </row>
    <row r="3" spans="1:92" x14ac:dyDescent="0.3">
      <c r="A3" t="s">
        <v>72</v>
      </c>
      <c r="B3" t="s">
        <v>73</v>
      </c>
      <c r="C3" t="s">
        <v>74</v>
      </c>
      <c r="E3" t="str">
        <f>"080069573306"</f>
        <v>080069573306</v>
      </c>
      <c r="F3" s="3">
        <v>45992</v>
      </c>
      <c r="G3">
        <v>202609</v>
      </c>
      <c r="H3" t="s">
        <v>75</v>
      </c>
      <c r="I3" t="s">
        <v>76</v>
      </c>
      <c r="J3" t="s">
        <v>77</v>
      </c>
      <c r="K3" t="s">
        <v>78</v>
      </c>
      <c r="L3" t="s">
        <v>75</v>
      </c>
      <c r="M3" t="s">
        <v>76</v>
      </c>
      <c r="N3" t="s">
        <v>88</v>
      </c>
      <c r="O3" t="s">
        <v>89</v>
      </c>
      <c r="P3" t="str">
        <f>"4170071177                    "</f>
        <v xml:space="preserve">4170071177                    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17.37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1</v>
      </c>
      <c r="BI3">
        <v>1</v>
      </c>
      <c r="BJ3">
        <v>1.7</v>
      </c>
      <c r="BK3">
        <v>2</v>
      </c>
      <c r="BL3">
        <v>56.85</v>
      </c>
      <c r="BM3">
        <v>8.5299999999999994</v>
      </c>
      <c r="BN3">
        <v>65.38</v>
      </c>
      <c r="BO3">
        <v>65.38</v>
      </c>
      <c r="BQ3" t="s">
        <v>90</v>
      </c>
      <c r="BR3" t="s">
        <v>82</v>
      </c>
      <c r="BS3" s="3">
        <v>45993</v>
      </c>
      <c r="BT3" s="4">
        <v>0.29166666666666669</v>
      </c>
      <c r="BU3" t="s">
        <v>91</v>
      </c>
      <c r="BV3" t="s">
        <v>84</v>
      </c>
      <c r="BY3">
        <v>8496</v>
      </c>
      <c r="CA3" t="s">
        <v>92</v>
      </c>
      <c r="CC3" t="s">
        <v>76</v>
      </c>
      <c r="CD3">
        <v>1600</v>
      </c>
      <c r="CE3" t="s">
        <v>93</v>
      </c>
      <c r="CF3" s="3">
        <v>45994</v>
      </c>
      <c r="CI3">
        <v>1</v>
      </c>
      <c r="CJ3">
        <v>1</v>
      </c>
      <c r="CK3">
        <v>22</v>
      </c>
      <c r="CL3" t="s">
        <v>87</v>
      </c>
    </row>
    <row r="4" spans="1:92" x14ac:dyDescent="0.3">
      <c r="A4" t="s">
        <v>72</v>
      </c>
      <c r="B4" t="s">
        <v>73</v>
      </c>
      <c r="C4" t="s">
        <v>74</v>
      </c>
      <c r="E4" t="str">
        <f>"080069573428"</f>
        <v>080069573428</v>
      </c>
      <c r="F4" s="3">
        <v>45992</v>
      </c>
      <c r="G4">
        <v>202609</v>
      </c>
      <c r="H4" t="s">
        <v>75</v>
      </c>
      <c r="I4" t="s">
        <v>76</v>
      </c>
      <c r="J4" t="s">
        <v>77</v>
      </c>
      <c r="K4" t="s">
        <v>78</v>
      </c>
      <c r="L4" t="s">
        <v>94</v>
      </c>
      <c r="M4" t="s">
        <v>95</v>
      </c>
      <c r="N4" t="s">
        <v>96</v>
      </c>
      <c r="O4" t="s">
        <v>89</v>
      </c>
      <c r="P4" t="str">
        <f>"4170071167                    "</f>
        <v xml:space="preserve">4170071167                    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22.24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1</v>
      </c>
      <c r="BI4">
        <v>1</v>
      </c>
      <c r="BJ4">
        <v>1.8</v>
      </c>
      <c r="BK4">
        <v>2</v>
      </c>
      <c r="BL4">
        <v>72.78</v>
      </c>
      <c r="BM4">
        <v>10.92</v>
      </c>
      <c r="BN4">
        <v>83.7</v>
      </c>
      <c r="BO4">
        <v>83.7</v>
      </c>
      <c r="BQ4" t="s">
        <v>97</v>
      </c>
      <c r="BR4" t="s">
        <v>82</v>
      </c>
      <c r="BS4" s="3">
        <v>45993</v>
      </c>
      <c r="BT4" s="4">
        <v>0.39097222222222222</v>
      </c>
      <c r="BU4" t="s">
        <v>98</v>
      </c>
      <c r="BV4" t="s">
        <v>84</v>
      </c>
      <c r="BY4">
        <v>8816</v>
      </c>
      <c r="CA4" t="s">
        <v>99</v>
      </c>
      <c r="CC4" t="s">
        <v>95</v>
      </c>
      <c r="CD4">
        <v>3610</v>
      </c>
      <c r="CE4" t="s">
        <v>86</v>
      </c>
      <c r="CF4" s="3">
        <v>45993</v>
      </c>
      <c r="CI4">
        <v>1</v>
      </c>
      <c r="CJ4">
        <v>1</v>
      </c>
      <c r="CK4">
        <v>21</v>
      </c>
      <c r="CL4" t="s">
        <v>87</v>
      </c>
    </row>
    <row r="5" spans="1:92" x14ac:dyDescent="0.3">
      <c r="A5" t="s">
        <v>72</v>
      </c>
      <c r="B5" t="s">
        <v>73</v>
      </c>
      <c r="C5" t="s">
        <v>74</v>
      </c>
      <c r="E5" t="str">
        <f>"080069573972"</f>
        <v>080069573972</v>
      </c>
      <c r="F5" s="3">
        <v>45992</v>
      </c>
      <c r="G5">
        <v>202609</v>
      </c>
      <c r="H5" t="s">
        <v>75</v>
      </c>
      <c r="I5" t="s">
        <v>76</v>
      </c>
      <c r="J5" t="s">
        <v>77</v>
      </c>
      <c r="K5" t="s">
        <v>78</v>
      </c>
      <c r="L5" t="s">
        <v>100</v>
      </c>
      <c r="M5" t="s">
        <v>101</v>
      </c>
      <c r="N5" t="s">
        <v>102</v>
      </c>
      <c r="O5" t="s">
        <v>80</v>
      </c>
      <c r="P5" t="str">
        <f>"4170071268                    "</f>
        <v xml:space="preserve">4170071268                    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46.56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1</v>
      </c>
      <c r="BI5">
        <v>17</v>
      </c>
      <c r="BJ5">
        <v>16.899999999999999</v>
      </c>
      <c r="BK5">
        <v>17</v>
      </c>
      <c r="BL5">
        <v>158.47999999999999</v>
      </c>
      <c r="BM5">
        <v>23.77</v>
      </c>
      <c r="BN5">
        <v>182.25</v>
      </c>
      <c r="BO5">
        <v>182.25</v>
      </c>
      <c r="BQ5" t="s">
        <v>103</v>
      </c>
      <c r="BR5" t="s">
        <v>82</v>
      </c>
      <c r="BS5" s="3">
        <v>45994</v>
      </c>
      <c r="BT5" s="4">
        <v>0.33819444444444446</v>
      </c>
      <c r="BU5" t="s">
        <v>104</v>
      </c>
      <c r="BV5" t="s">
        <v>87</v>
      </c>
      <c r="BW5" t="s">
        <v>105</v>
      </c>
      <c r="BX5" t="s">
        <v>106</v>
      </c>
      <c r="BY5">
        <v>84700</v>
      </c>
      <c r="CA5" t="s">
        <v>107</v>
      </c>
      <c r="CC5" t="s">
        <v>101</v>
      </c>
      <c r="CD5">
        <v>4051</v>
      </c>
      <c r="CE5" t="s">
        <v>108</v>
      </c>
      <c r="CF5" s="3">
        <v>45994</v>
      </c>
      <c r="CI5">
        <v>1</v>
      </c>
      <c r="CJ5">
        <v>2</v>
      </c>
      <c r="CK5">
        <v>41</v>
      </c>
      <c r="CL5" t="s">
        <v>87</v>
      </c>
    </row>
    <row r="6" spans="1:92" x14ac:dyDescent="0.3">
      <c r="A6" t="s">
        <v>72</v>
      </c>
      <c r="B6" t="s">
        <v>73</v>
      </c>
      <c r="C6" t="s">
        <v>74</v>
      </c>
      <c r="E6" t="str">
        <f>"080069574037"</f>
        <v>080069574037</v>
      </c>
      <c r="F6" s="3">
        <v>45992</v>
      </c>
      <c r="G6">
        <v>202609</v>
      </c>
      <c r="H6" t="s">
        <v>75</v>
      </c>
      <c r="I6" t="s">
        <v>76</v>
      </c>
      <c r="J6" t="s">
        <v>77</v>
      </c>
      <c r="K6" t="s">
        <v>78</v>
      </c>
      <c r="L6" t="s">
        <v>109</v>
      </c>
      <c r="M6" t="s">
        <v>110</v>
      </c>
      <c r="N6" t="s">
        <v>111</v>
      </c>
      <c r="O6" t="s">
        <v>89</v>
      </c>
      <c r="P6" t="str">
        <f>"4170071198                    "</f>
        <v xml:space="preserve">4170071198                    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31.28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1</v>
      </c>
      <c r="BI6">
        <v>2</v>
      </c>
      <c r="BJ6">
        <v>1.4</v>
      </c>
      <c r="BK6">
        <v>2</v>
      </c>
      <c r="BL6">
        <v>102.36</v>
      </c>
      <c r="BM6">
        <v>15.35</v>
      </c>
      <c r="BN6">
        <v>117.71</v>
      </c>
      <c r="BO6">
        <v>117.71</v>
      </c>
      <c r="BQ6" t="s">
        <v>112</v>
      </c>
      <c r="BR6" t="s">
        <v>82</v>
      </c>
      <c r="BS6" s="3">
        <v>45993</v>
      </c>
      <c r="BT6" s="4">
        <v>0.44305555555555554</v>
      </c>
      <c r="BU6" t="s">
        <v>113</v>
      </c>
      <c r="BV6" t="s">
        <v>84</v>
      </c>
      <c r="BY6">
        <v>7000</v>
      </c>
      <c r="CC6" t="s">
        <v>110</v>
      </c>
      <c r="CD6">
        <v>1748</v>
      </c>
      <c r="CE6" t="s">
        <v>86</v>
      </c>
      <c r="CF6" s="3">
        <v>45994</v>
      </c>
      <c r="CI6">
        <v>1</v>
      </c>
      <c r="CJ6">
        <v>1</v>
      </c>
      <c r="CK6">
        <v>24</v>
      </c>
      <c r="CL6" t="s">
        <v>87</v>
      </c>
    </row>
    <row r="7" spans="1:92" x14ac:dyDescent="0.3">
      <c r="A7" t="s">
        <v>72</v>
      </c>
      <c r="B7" t="s">
        <v>73</v>
      </c>
      <c r="C7" t="s">
        <v>74</v>
      </c>
      <c r="E7" t="str">
        <f>"080069574097"</f>
        <v>080069574097</v>
      </c>
      <c r="F7" s="3">
        <v>45992</v>
      </c>
      <c r="G7">
        <v>202609</v>
      </c>
      <c r="H7" t="s">
        <v>75</v>
      </c>
      <c r="I7" t="s">
        <v>76</v>
      </c>
      <c r="J7" t="s">
        <v>77</v>
      </c>
      <c r="K7" t="s">
        <v>78</v>
      </c>
      <c r="L7" t="s">
        <v>114</v>
      </c>
      <c r="M7" t="s">
        <v>115</v>
      </c>
      <c r="N7" t="s">
        <v>116</v>
      </c>
      <c r="O7" t="s">
        <v>89</v>
      </c>
      <c r="P7" t="str">
        <f>"4170071297                    "</f>
        <v xml:space="preserve">4170071297                    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43.09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1</v>
      </c>
      <c r="BI7">
        <v>2</v>
      </c>
      <c r="BJ7">
        <v>0.7</v>
      </c>
      <c r="BK7">
        <v>2</v>
      </c>
      <c r="BL7">
        <v>141.02000000000001</v>
      </c>
      <c r="BM7">
        <v>21.15</v>
      </c>
      <c r="BN7">
        <v>162.16999999999999</v>
      </c>
      <c r="BO7">
        <v>162.16999999999999</v>
      </c>
      <c r="BQ7" t="s">
        <v>117</v>
      </c>
      <c r="BR7" t="s">
        <v>82</v>
      </c>
      <c r="BS7" s="3">
        <v>45994</v>
      </c>
      <c r="BT7" s="4">
        <v>0.64236111111111116</v>
      </c>
      <c r="BU7" t="s">
        <v>118</v>
      </c>
      <c r="BV7" t="s">
        <v>84</v>
      </c>
      <c r="BY7">
        <v>3306</v>
      </c>
      <c r="CA7" t="s">
        <v>119</v>
      </c>
      <c r="CC7" t="s">
        <v>115</v>
      </c>
      <c r="CD7">
        <v>6715</v>
      </c>
      <c r="CE7" t="s">
        <v>86</v>
      </c>
      <c r="CF7" s="3">
        <v>45995</v>
      </c>
      <c r="CI7">
        <v>2</v>
      </c>
      <c r="CJ7">
        <v>2</v>
      </c>
      <c r="CK7">
        <v>23</v>
      </c>
      <c r="CL7" t="s">
        <v>87</v>
      </c>
    </row>
    <row r="8" spans="1:92" x14ac:dyDescent="0.3">
      <c r="A8" t="s">
        <v>72</v>
      </c>
      <c r="B8" t="s">
        <v>73</v>
      </c>
      <c r="C8" t="s">
        <v>74</v>
      </c>
      <c r="E8" t="str">
        <f>"080069574157"</f>
        <v>080069574157</v>
      </c>
      <c r="F8" s="3">
        <v>45992</v>
      </c>
      <c r="G8">
        <v>202609</v>
      </c>
      <c r="H8" t="s">
        <v>75</v>
      </c>
      <c r="I8" t="s">
        <v>76</v>
      </c>
      <c r="J8" t="s">
        <v>77</v>
      </c>
      <c r="K8" t="s">
        <v>78</v>
      </c>
      <c r="L8" t="s">
        <v>120</v>
      </c>
      <c r="M8" t="s">
        <v>121</v>
      </c>
      <c r="N8" t="s">
        <v>122</v>
      </c>
      <c r="O8" t="s">
        <v>89</v>
      </c>
      <c r="P8" t="str">
        <f>"4170071096                    "</f>
        <v xml:space="preserve">4170071096                    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22.24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1</v>
      </c>
      <c r="BI8">
        <v>1</v>
      </c>
      <c r="BJ8">
        <v>0.2</v>
      </c>
      <c r="BK8">
        <v>1</v>
      </c>
      <c r="BL8">
        <v>72.78</v>
      </c>
      <c r="BM8">
        <v>10.92</v>
      </c>
      <c r="BN8">
        <v>83.7</v>
      </c>
      <c r="BO8">
        <v>83.7</v>
      </c>
      <c r="BQ8" t="s">
        <v>123</v>
      </c>
      <c r="BR8" t="s">
        <v>82</v>
      </c>
      <c r="BS8" s="3">
        <v>45993</v>
      </c>
      <c r="BT8" s="4">
        <v>0.43125000000000002</v>
      </c>
      <c r="BU8" t="s">
        <v>124</v>
      </c>
      <c r="BV8" t="s">
        <v>84</v>
      </c>
      <c r="BY8">
        <v>1200</v>
      </c>
      <c r="BZ8" t="s">
        <v>125</v>
      </c>
      <c r="CA8" t="s">
        <v>126</v>
      </c>
      <c r="CC8" t="s">
        <v>121</v>
      </c>
      <c r="CD8">
        <v>6230</v>
      </c>
      <c r="CE8" t="s">
        <v>127</v>
      </c>
      <c r="CF8" s="3">
        <v>45993</v>
      </c>
      <c r="CI8">
        <v>1</v>
      </c>
      <c r="CJ8">
        <v>1</v>
      </c>
      <c r="CK8">
        <v>21</v>
      </c>
      <c r="CL8" t="s">
        <v>87</v>
      </c>
    </row>
    <row r="9" spans="1:92" x14ac:dyDescent="0.3">
      <c r="A9" t="s">
        <v>72</v>
      </c>
      <c r="B9" t="s">
        <v>73</v>
      </c>
      <c r="C9" t="s">
        <v>74</v>
      </c>
      <c r="E9" t="str">
        <f>"080069574289"</f>
        <v>080069574289</v>
      </c>
      <c r="F9" s="3">
        <v>45992</v>
      </c>
      <c r="G9">
        <v>202609</v>
      </c>
      <c r="H9" t="s">
        <v>75</v>
      </c>
      <c r="I9" t="s">
        <v>76</v>
      </c>
      <c r="J9" t="s">
        <v>77</v>
      </c>
      <c r="K9" t="s">
        <v>78</v>
      </c>
      <c r="L9" t="s">
        <v>128</v>
      </c>
      <c r="M9" t="s">
        <v>129</v>
      </c>
      <c r="N9" t="s">
        <v>130</v>
      </c>
      <c r="O9" t="s">
        <v>89</v>
      </c>
      <c r="P9" t="str">
        <f>"4170071174                    "</f>
        <v xml:space="preserve">4170071174                    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22.24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1</v>
      </c>
      <c r="BI9">
        <v>1</v>
      </c>
      <c r="BJ9">
        <v>0.2</v>
      </c>
      <c r="BK9">
        <v>1</v>
      </c>
      <c r="BL9">
        <v>72.78</v>
      </c>
      <c r="BM9">
        <v>10.92</v>
      </c>
      <c r="BN9">
        <v>83.7</v>
      </c>
      <c r="BO9">
        <v>83.7</v>
      </c>
      <c r="BQ9" t="s">
        <v>131</v>
      </c>
      <c r="BR9" t="s">
        <v>82</v>
      </c>
      <c r="BS9" s="3">
        <v>45994</v>
      </c>
      <c r="BT9" s="4">
        <v>0.67361111111111116</v>
      </c>
      <c r="BU9" t="s">
        <v>132</v>
      </c>
      <c r="BV9" t="s">
        <v>84</v>
      </c>
      <c r="BY9">
        <v>1200</v>
      </c>
      <c r="CA9" t="s">
        <v>133</v>
      </c>
      <c r="CC9" t="s">
        <v>129</v>
      </c>
      <c r="CD9">
        <v>5201</v>
      </c>
      <c r="CE9" t="s">
        <v>134</v>
      </c>
      <c r="CF9" s="3">
        <v>45995</v>
      </c>
      <c r="CI9">
        <v>5</v>
      </c>
      <c r="CJ9">
        <v>2</v>
      </c>
      <c r="CK9">
        <v>21</v>
      </c>
      <c r="CL9" t="s">
        <v>87</v>
      </c>
    </row>
    <row r="10" spans="1:92" x14ac:dyDescent="0.3">
      <c r="A10" t="s">
        <v>72</v>
      </c>
      <c r="B10" t="s">
        <v>73</v>
      </c>
      <c r="C10" t="s">
        <v>74</v>
      </c>
      <c r="E10" t="str">
        <f>"080069574280"</f>
        <v>080069574280</v>
      </c>
      <c r="F10" s="3">
        <v>45992</v>
      </c>
      <c r="G10">
        <v>202609</v>
      </c>
      <c r="H10" t="s">
        <v>75</v>
      </c>
      <c r="I10" t="s">
        <v>76</v>
      </c>
      <c r="J10" t="s">
        <v>77</v>
      </c>
      <c r="K10" t="s">
        <v>78</v>
      </c>
      <c r="L10" t="s">
        <v>135</v>
      </c>
      <c r="M10" t="s">
        <v>136</v>
      </c>
      <c r="N10" t="s">
        <v>137</v>
      </c>
      <c r="O10" t="s">
        <v>89</v>
      </c>
      <c r="P10" t="str">
        <f>"4170071274                    "</f>
        <v xml:space="preserve">4170071274                    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43.09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2</v>
      </c>
      <c r="BI10">
        <v>2</v>
      </c>
      <c r="BJ10">
        <v>1.1000000000000001</v>
      </c>
      <c r="BK10">
        <v>2</v>
      </c>
      <c r="BL10">
        <v>141.02000000000001</v>
      </c>
      <c r="BM10">
        <v>21.15</v>
      </c>
      <c r="BN10">
        <v>162.16999999999999</v>
      </c>
      <c r="BO10">
        <v>162.16999999999999</v>
      </c>
      <c r="BQ10" t="s">
        <v>138</v>
      </c>
      <c r="BR10" t="s">
        <v>82</v>
      </c>
      <c r="BS10" s="3">
        <v>45993</v>
      </c>
      <c r="BT10" s="4">
        <v>0.46041666666666664</v>
      </c>
      <c r="BU10" t="s">
        <v>139</v>
      </c>
      <c r="BV10" t="s">
        <v>84</v>
      </c>
      <c r="BY10">
        <v>5700</v>
      </c>
      <c r="CA10" t="s">
        <v>140</v>
      </c>
      <c r="CC10" t="s">
        <v>136</v>
      </c>
      <c r="CD10">
        <v>7110</v>
      </c>
      <c r="CE10" t="s">
        <v>134</v>
      </c>
      <c r="CF10" s="3">
        <v>45994</v>
      </c>
      <c r="CI10">
        <v>1</v>
      </c>
      <c r="CJ10">
        <v>1</v>
      </c>
      <c r="CK10">
        <v>23</v>
      </c>
      <c r="CL10" t="s">
        <v>87</v>
      </c>
    </row>
    <row r="11" spans="1:92" x14ac:dyDescent="0.3">
      <c r="A11" t="s">
        <v>72</v>
      </c>
      <c r="B11" t="s">
        <v>73</v>
      </c>
      <c r="C11" t="s">
        <v>74</v>
      </c>
      <c r="E11" t="str">
        <f>"080069574337"</f>
        <v>080069574337</v>
      </c>
      <c r="F11" s="3">
        <v>45992</v>
      </c>
      <c r="G11">
        <v>202609</v>
      </c>
      <c r="H11" t="s">
        <v>75</v>
      </c>
      <c r="I11" t="s">
        <v>76</v>
      </c>
      <c r="J11" t="s">
        <v>77</v>
      </c>
      <c r="K11" t="s">
        <v>78</v>
      </c>
      <c r="L11" t="s">
        <v>141</v>
      </c>
      <c r="M11" t="s">
        <v>142</v>
      </c>
      <c r="N11" t="s">
        <v>143</v>
      </c>
      <c r="O11" t="s">
        <v>89</v>
      </c>
      <c r="P11" t="str">
        <f>"4170071200                    "</f>
        <v xml:space="preserve">4170071200                    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38.909999999999997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1</v>
      </c>
      <c r="BI11">
        <v>2</v>
      </c>
      <c r="BJ11">
        <v>3.4</v>
      </c>
      <c r="BK11">
        <v>3.5</v>
      </c>
      <c r="BL11">
        <v>127.34</v>
      </c>
      <c r="BM11">
        <v>19.100000000000001</v>
      </c>
      <c r="BN11">
        <v>146.44</v>
      </c>
      <c r="BO11">
        <v>146.44</v>
      </c>
      <c r="BQ11" t="s">
        <v>144</v>
      </c>
      <c r="BR11" t="s">
        <v>82</v>
      </c>
      <c r="BS11" s="3">
        <v>45993</v>
      </c>
      <c r="BT11" s="4">
        <v>0.43194444444444446</v>
      </c>
      <c r="BU11" t="s">
        <v>145</v>
      </c>
      <c r="BV11" t="s">
        <v>84</v>
      </c>
      <c r="BY11">
        <v>16965</v>
      </c>
      <c r="BZ11" t="s">
        <v>125</v>
      </c>
      <c r="CA11" t="s">
        <v>146</v>
      </c>
      <c r="CC11" t="s">
        <v>142</v>
      </c>
      <c r="CD11">
        <v>6001</v>
      </c>
      <c r="CE11" t="s">
        <v>147</v>
      </c>
      <c r="CF11" s="3">
        <v>45993</v>
      </c>
      <c r="CI11">
        <v>1</v>
      </c>
      <c r="CJ11">
        <v>1</v>
      </c>
      <c r="CK11">
        <v>21</v>
      </c>
      <c r="CL11" t="s">
        <v>87</v>
      </c>
    </row>
    <row r="12" spans="1:92" x14ac:dyDescent="0.3">
      <c r="A12" t="s">
        <v>72</v>
      </c>
      <c r="B12" t="s">
        <v>73</v>
      </c>
      <c r="C12" t="s">
        <v>74</v>
      </c>
      <c r="E12" t="str">
        <f>"080069575138"</f>
        <v>080069575138</v>
      </c>
      <c r="F12" s="3">
        <v>45992</v>
      </c>
      <c r="G12">
        <v>202609</v>
      </c>
      <c r="H12" t="s">
        <v>75</v>
      </c>
      <c r="I12" t="s">
        <v>76</v>
      </c>
      <c r="J12" t="s">
        <v>77</v>
      </c>
      <c r="K12" t="s">
        <v>78</v>
      </c>
      <c r="L12" t="s">
        <v>148</v>
      </c>
      <c r="M12" t="s">
        <v>149</v>
      </c>
      <c r="N12" t="s">
        <v>150</v>
      </c>
      <c r="O12" t="s">
        <v>89</v>
      </c>
      <c r="P12" t="str">
        <f>"4170071267                    "</f>
        <v xml:space="preserve">4170071267                    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43.09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1</v>
      </c>
      <c r="BI12">
        <v>1</v>
      </c>
      <c r="BJ12">
        <v>0.2</v>
      </c>
      <c r="BK12">
        <v>1</v>
      </c>
      <c r="BL12">
        <v>141.02000000000001</v>
      </c>
      <c r="BM12">
        <v>21.15</v>
      </c>
      <c r="BN12">
        <v>162.16999999999999</v>
      </c>
      <c r="BO12">
        <v>162.16999999999999</v>
      </c>
      <c r="BQ12" t="s">
        <v>151</v>
      </c>
      <c r="BR12" t="s">
        <v>82</v>
      </c>
      <c r="BS12" s="3">
        <v>45994</v>
      </c>
      <c r="BT12" s="4">
        <v>0.49444444444444446</v>
      </c>
      <c r="BU12" t="s">
        <v>152</v>
      </c>
      <c r="BV12" t="s">
        <v>87</v>
      </c>
      <c r="BW12" t="s">
        <v>153</v>
      </c>
      <c r="BX12" t="s">
        <v>154</v>
      </c>
      <c r="BY12">
        <v>1200</v>
      </c>
      <c r="CA12" t="s">
        <v>155</v>
      </c>
      <c r="CC12" t="s">
        <v>149</v>
      </c>
      <c r="CD12">
        <v>7300</v>
      </c>
      <c r="CE12" t="s">
        <v>134</v>
      </c>
      <c r="CF12" s="3">
        <v>45995</v>
      </c>
      <c r="CI12">
        <v>1</v>
      </c>
      <c r="CJ12">
        <v>2</v>
      </c>
      <c r="CK12">
        <v>23</v>
      </c>
      <c r="CL12" t="s">
        <v>87</v>
      </c>
    </row>
    <row r="13" spans="1:92" x14ac:dyDescent="0.3">
      <c r="A13" t="s">
        <v>72</v>
      </c>
      <c r="B13" t="s">
        <v>73</v>
      </c>
      <c r="C13" t="s">
        <v>74</v>
      </c>
      <c r="E13" t="str">
        <f>"080069575295"</f>
        <v>080069575295</v>
      </c>
      <c r="F13" s="3">
        <v>45992</v>
      </c>
      <c r="G13">
        <v>202609</v>
      </c>
      <c r="H13" t="s">
        <v>75</v>
      </c>
      <c r="I13" t="s">
        <v>76</v>
      </c>
      <c r="J13" t="s">
        <v>77</v>
      </c>
      <c r="K13" t="s">
        <v>78</v>
      </c>
      <c r="L13" t="s">
        <v>156</v>
      </c>
      <c r="M13" t="s">
        <v>157</v>
      </c>
      <c r="N13" t="s">
        <v>158</v>
      </c>
      <c r="O13" t="s">
        <v>89</v>
      </c>
      <c r="P13" t="str">
        <f>"4170071294                    "</f>
        <v xml:space="preserve">4170071294                    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22.24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1</v>
      </c>
      <c r="BI13">
        <v>1</v>
      </c>
      <c r="BJ13">
        <v>0.2</v>
      </c>
      <c r="BK13">
        <v>1</v>
      </c>
      <c r="BL13">
        <v>72.78</v>
      </c>
      <c r="BM13">
        <v>10.92</v>
      </c>
      <c r="BN13">
        <v>83.7</v>
      </c>
      <c r="BO13">
        <v>83.7</v>
      </c>
      <c r="BQ13" t="s">
        <v>159</v>
      </c>
      <c r="BR13" t="s">
        <v>82</v>
      </c>
      <c r="BS13" s="3">
        <v>45993</v>
      </c>
      <c r="BT13" s="4">
        <v>0.50694444444444442</v>
      </c>
      <c r="BU13" t="s">
        <v>160</v>
      </c>
      <c r="BV13" t="s">
        <v>87</v>
      </c>
      <c r="BW13" t="s">
        <v>153</v>
      </c>
      <c r="BX13" t="s">
        <v>161</v>
      </c>
      <c r="BY13">
        <v>1200</v>
      </c>
      <c r="CA13" t="s">
        <v>162</v>
      </c>
      <c r="CC13" t="s">
        <v>157</v>
      </c>
      <c r="CD13">
        <v>7530</v>
      </c>
      <c r="CE13" t="s">
        <v>134</v>
      </c>
      <c r="CF13" s="3">
        <v>45994</v>
      </c>
      <c r="CI13">
        <v>1</v>
      </c>
      <c r="CJ13">
        <v>1</v>
      </c>
      <c r="CK13">
        <v>21</v>
      </c>
      <c r="CL13" t="s">
        <v>87</v>
      </c>
    </row>
    <row r="14" spans="1:92" x14ac:dyDescent="0.3">
      <c r="A14" t="s">
        <v>72</v>
      </c>
      <c r="B14" t="s">
        <v>73</v>
      </c>
      <c r="C14" t="s">
        <v>74</v>
      </c>
      <c r="E14" t="str">
        <f>"080069575361"</f>
        <v>080069575361</v>
      </c>
      <c r="F14" s="3">
        <v>45992</v>
      </c>
      <c r="G14">
        <v>202609</v>
      </c>
      <c r="H14" t="s">
        <v>75</v>
      </c>
      <c r="I14" t="s">
        <v>76</v>
      </c>
      <c r="J14" t="s">
        <v>77</v>
      </c>
      <c r="K14" t="s">
        <v>78</v>
      </c>
      <c r="L14" t="s">
        <v>120</v>
      </c>
      <c r="M14" t="s">
        <v>121</v>
      </c>
      <c r="N14" t="s">
        <v>163</v>
      </c>
      <c r="O14" t="s">
        <v>89</v>
      </c>
      <c r="P14" t="str">
        <f>"4170071078                    "</f>
        <v xml:space="preserve">4170071078                    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105.6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1</v>
      </c>
      <c r="BI14">
        <v>4</v>
      </c>
      <c r="BJ14">
        <v>9.5</v>
      </c>
      <c r="BK14">
        <v>9.5</v>
      </c>
      <c r="BL14">
        <v>345.59</v>
      </c>
      <c r="BM14">
        <v>51.84</v>
      </c>
      <c r="BN14">
        <v>397.43</v>
      </c>
      <c r="BO14">
        <v>397.43</v>
      </c>
      <c r="BQ14" t="s">
        <v>164</v>
      </c>
      <c r="BR14" t="s">
        <v>82</v>
      </c>
      <c r="BS14" s="3">
        <v>45993</v>
      </c>
      <c r="BT14" s="4">
        <v>0.40972222222222221</v>
      </c>
      <c r="BU14" t="s">
        <v>165</v>
      </c>
      <c r="BV14" t="s">
        <v>84</v>
      </c>
      <c r="BY14">
        <v>47328</v>
      </c>
      <c r="BZ14" t="s">
        <v>125</v>
      </c>
      <c r="CA14" t="s">
        <v>126</v>
      </c>
      <c r="CC14" t="s">
        <v>121</v>
      </c>
      <c r="CD14">
        <v>6230</v>
      </c>
      <c r="CE14" t="s">
        <v>93</v>
      </c>
      <c r="CF14" s="3">
        <v>45993</v>
      </c>
      <c r="CI14">
        <v>1</v>
      </c>
      <c r="CJ14">
        <v>1</v>
      </c>
      <c r="CK14">
        <v>21</v>
      </c>
      <c r="CL14" t="s">
        <v>87</v>
      </c>
    </row>
    <row r="15" spans="1:92" x14ac:dyDescent="0.3">
      <c r="A15" t="s">
        <v>72</v>
      </c>
      <c r="B15" t="s">
        <v>73</v>
      </c>
      <c r="C15" t="s">
        <v>74</v>
      </c>
      <c r="E15" t="str">
        <f>"080069575824"</f>
        <v>080069575824</v>
      </c>
      <c r="F15" s="3">
        <v>45992</v>
      </c>
      <c r="G15">
        <v>202609</v>
      </c>
      <c r="H15" t="s">
        <v>75</v>
      </c>
      <c r="I15" t="s">
        <v>76</v>
      </c>
      <c r="J15" t="s">
        <v>77</v>
      </c>
      <c r="K15" t="s">
        <v>78</v>
      </c>
      <c r="L15" t="s">
        <v>100</v>
      </c>
      <c r="M15" t="s">
        <v>101</v>
      </c>
      <c r="N15" t="s">
        <v>166</v>
      </c>
      <c r="O15" t="s">
        <v>89</v>
      </c>
      <c r="P15" t="str">
        <f>"4170071252                    "</f>
        <v xml:space="preserve">4170071252                    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22.24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1</v>
      </c>
      <c r="BI15">
        <v>1</v>
      </c>
      <c r="BJ15">
        <v>0.2</v>
      </c>
      <c r="BK15">
        <v>1</v>
      </c>
      <c r="BL15">
        <v>72.78</v>
      </c>
      <c r="BM15">
        <v>10.92</v>
      </c>
      <c r="BN15">
        <v>83.7</v>
      </c>
      <c r="BO15">
        <v>83.7</v>
      </c>
      <c r="BQ15" t="s">
        <v>167</v>
      </c>
      <c r="BR15" t="s">
        <v>82</v>
      </c>
      <c r="BS15" s="3">
        <v>45993</v>
      </c>
      <c r="BT15" s="4">
        <v>0.4513888888888889</v>
      </c>
      <c r="BU15" t="s">
        <v>168</v>
      </c>
      <c r="BV15" t="s">
        <v>87</v>
      </c>
      <c r="BW15" t="s">
        <v>105</v>
      </c>
      <c r="BX15" t="s">
        <v>106</v>
      </c>
      <c r="BY15">
        <v>1200</v>
      </c>
      <c r="BZ15" t="s">
        <v>125</v>
      </c>
      <c r="CC15" t="s">
        <v>101</v>
      </c>
      <c r="CD15">
        <v>4000</v>
      </c>
      <c r="CE15" t="s">
        <v>127</v>
      </c>
      <c r="CF15" s="3">
        <v>45993</v>
      </c>
      <c r="CI15">
        <v>1</v>
      </c>
      <c r="CJ15">
        <v>1</v>
      </c>
      <c r="CK15">
        <v>21</v>
      </c>
      <c r="CL15" t="s">
        <v>87</v>
      </c>
    </row>
    <row r="16" spans="1:92" x14ac:dyDescent="0.3">
      <c r="A16" t="s">
        <v>72</v>
      </c>
      <c r="B16" t="s">
        <v>73</v>
      </c>
      <c r="C16" t="s">
        <v>74</v>
      </c>
      <c r="E16" t="str">
        <f>"080069575905"</f>
        <v>080069575905</v>
      </c>
      <c r="F16" s="3">
        <v>45992</v>
      </c>
      <c r="G16">
        <v>202609</v>
      </c>
      <c r="H16" t="s">
        <v>75</v>
      </c>
      <c r="I16" t="s">
        <v>76</v>
      </c>
      <c r="J16" t="s">
        <v>77</v>
      </c>
      <c r="K16" t="s">
        <v>78</v>
      </c>
      <c r="L16" t="s">
        <v>169</v>
      </c>
      <c r="M16" t="s">
        <v>170</v>
      </c>
      <c r="N16" t="s">
        <v>171</v>
      </c>
      <c r="O16" t="s">
        <v>89</v>
      </c>
      <c r="P16" t="str">
        <f>"4170071253                    "</f>
        <v xml:space="preserve">4170071253                    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43.09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1</v>
      </c>
      <c r="BI16">
        <v>1</v>
      </c>
      <c r="BJ16">
        <v>0.2</v>
      </c>
      <c r="BK16">
        <v>1</v>
      </c>
      <c r="BL16">
        <v>141.02000000000001</v>
      </c>
      <c r="BM16">
        <v>21.15</v>
      </c>
      <c r="BN16">
        <v>162.16999999999999</v>
      </c>
      <c r="BO16">
        <v>162.16999999999999</v>
      </c>
      <c r="BQ16" t="s">
        <v>172</v>
      </c>
      <c r="BR16" t="s">
        <v>82</v>
      </c>
      <c r="BS16" s="3">
        <v>45994</v>
      </c>
      <c r="BT16" s="4">
        <v>0.60902777777777772</v>
      </c>
      <c r="BU16" t="s">
        <v>173</v>
      </c>
      <c r="BV16" t="s">
        <v>87</v>
      </c>
      <c r="BW16" t="s">
        <v>174</v>
      </c>
      <c r="BX16" t="s">
        <v>175</v>
      </c>
      <c r="BY16">
        <v>1200</v>
      </c>
      <c r="CA16">
        <v>8410105735081</v>
      </c>
      <c r="CC16" t="s">
        <v>170</v>
      </c>
      <c r="CD16">
        <v>1028</v>
      </c>
      <c r="CE16" t="s">
        <v>134</v>
      </c>
      <c r="CF16" s="3">
        <v>45994</v>
      </c>
      <c r="CI16">
        <v>1</v>
      </c>
      <c r="CJ16">
        <v>2</v>
      </c>
      <c r="CK16">
        <v>23</v>
      </c>
      <c r="CL16" t="s">
        <v>87</v>
      </c>
    </row>
    <row r="17" spans="1:90" x14ac:dyDescent="0.3">
      <c r="A17" t="s">
        <v>72</v>
      </c>
      <c r="B17" t="s">
        <v>73</v>
      </c>
      <c r="C17" t="s">
        <v>74</v>
      </c>
      <c r="E17" t="str">
        <f>"080069576032"</f>
        <v>080069576032</v>
      </c>
      <c r="F17" s="3">
        <v>45992</v>
      </c>
      <c r="G17">
        <v>202609</v>
      </c>
      <c r="H17" t="s">
        <v>75</v>
      </c>
      <c r="I17" t="s">
        <v>76</v>
      </c>
      <c r="J17" t="s">
        <v>77</v>
      </c>
      <c r="K17" t="s">
        <v>78</v>
      </c>
      <c r="L17" t="s">
        <v>176</v>
      </c>
      <c r="M17" t="s">
        <v>177</v>
      </c>
      <c r="N17" t="s">
        <v>178</v>
      </c>
      <c r="O17" t="s">
        <v>89</v>
      </c>
      <c r="P17" t="str">
        <f>"4170071215                    "</f>
        <v xml:space="preserve">4170071215                    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17.37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1</v>
      </c>
      <c r="BI17">
        <v>1</v>
      </c>
      <c r="BJ17">
        <v>0.2</v>
      </c>
      <c r="BK17">
        <v>1</v>
      </c>
      <c r="BL17">
        <v>56.85</v>
      </c>
      <c r="BM17">
        <v>8.5299999999999994</v>
      </c>
      <c r="BN17">
        <v>65.38</v>
      </c>
      <c r="BO17">
        <v>65.38</v>
      </c>
      <c r="BQ17" t="s">
        <v>179</v>
      </c>
      <c r="BR17" t="s">
        <v>82</v>
      </c>
      <c r="BS17" s="3">
        <v>45994</v>
      </c>
      <c r="BT17" s="4">
        <v>0.4</v>
      </c>
      <c r="BU17" t="s">
        <v>180</v>
      </c>
      <c r="BV17" t="s">
        <v>87</v>
      </c>
      <c r="BW17" t="s">
        <v>174</v>
      </c>
      <c r="BX17" t="s">
        <v>181</v>
      </c>
      <c r="BY17">
        <v>1200</v>
      </c>
      <c r="CA17" t="s">
        <v>182</v>
      </c>
      <c r="CC17" t="s">
        <v>177</v>
      </c>
      <c r="CD17">
        <v>2094</v>
      </c>
      <c r="CE17" t="s">
        <v>134</v>
      </c>
      <c r="CF17" s="3">
        <v>45994</v>
      </c>
      <c r="CI17">
        <v>1</v>
      </c>
      <c r="CJ17">
        <v>2</v>
      </c>
      <c r="CK17">
        <v>22</v>
      </c>
      <c r="CL17" t="s">
        <v>87</v>
      </c>
    </row>
    <row r="18" spans="1:90" x14ac:dyDescent="0.3">
      <c r="A18" t="s">
        <v>72</v>
      </c>
      <c r="B18" t="s">
        <v>73</v>
      </c>
      <c r="C18" t="s">
        <v>74</v>
      </c>
      <c r="E18" t="str">
        <f>"080069576098"</f>
        <v>080069576098</v>
      </c>
      <c r="F18" s="3">
        <v>45992</v>
      </c>
      <c r="G18">
        <v>202609</v>
      </c>
      <c r="H18" t="s">
        <v>75</v>
      </c>
      <c r="I18" t="s">
        <v>76</v>
      </c>
      <c r="J18" t="s">
        <v>77</v>
      </c>
      <c r="K18" t="s">
        <v>78</v>
      </c>
      <c r="L18" t="s">
        <v>128</v>
      </c>
      <c r="M18" t="s">
        <v>129</v>
      </c>
      <c r="N18" t="s">
        <v>183</v>
      </c>
      <c r="O18" t="s">
        <v>89</v>
      </c>
      <c r="P18" t="str">
        <f>"4170071089                    "</f>
        <v xml:space="preserve">4170071089                    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22.24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1</v>
      </c>
      <c r="BI18">
        <v>1</v>
      </c>
      <c r="BJ18">
        <v>0.2</v>
      </c>
      <c r="BK18">
        <v>1</v>
      </c>
      <c r="BL18">
        <v>72.78</v>
      </c>
      <c r="BM18">
        <v>10.92</v>
      </c>
      <c r="BN18">
        <v>83.7</v>
      </c>
      <c r="BO18">
        <v>83.7</v>
      </c>
      <c r="BQ18" t="s">
        <v>184</v>
      </c>
      <c r="BR18" t="s">
        <v>82</v>
      </c>
      <c r="BS18" s="3">
        <v>45993</v>
      </c>
      <c r="BT18" s="4">
        <v>0.6381944444444444</v>
      </c>
      <c r="BU18" t="s">
        <v>185</v>
      </c>
      <c r="BV18" t="s">
        <v>87</v>
      </c>
      <c r="BW18" t="s">
        <v>186</v>
      </c>
      <c r="BX18" t="s">
        <v>187</v>
      </c>
      <c r="BY18">
        <v>1200</v>
      </c>
      <c r="CA18" t="s">
        <v>188</v>
      </c>
      <c r="CC18" t="s">
        <v>129</v>
      </c>
      <c r="CD18">
        <v>5200</v>
      </c>
      <c r="CE18" t="s">
        <v>134</v>
      </c>
      <c r="CF18" s="3">
        <v>45994</v>
      </c>
      <c r="CI18">
        <v>1</v>
      </c>
      <c r="CJ18">
        <v>1</v>
      </c>
      <c r="CK18">
        <v>21</v>
      </c>
      <c r="CL18" t="s">
        <v>87</v>
      </c>
    </row>
    <row r="19" spans="1:90" x14ac:dyDescent="0.3">
      <c r="A19" t="s">
        <v>72</v>
      </c>
      <c r="B19" t="s">
        <v>73</v>
      </c>
      <c r="C19" t="s">
        <v>74</v>
      </c>
      <c r="E19" t="str">
        <f>"080069576151"</f>
        <v>080069576151</v>
      </c>
      <c r="F19" s="3">
        <v>45992</v>
      </c>
      <c r="G19">
        <v>202609</v>
      </c>
      <c r="H19" t="s">
        <v>75</v>
      </c>
      <c r="I19" t="s">
        <v>76</v>
      </c>
      <c r="J19" t="s">
        <v>77</v>
      </c>
      <c r="K19" t="s">
        <v>78</v>
      </c>
      <c r="L19" t="s">
        <v>189</v>
      </c>
      <c r="M19" t="s">
        <v>190</v>
      </c>
      <c r="N19" t="s">
        <v>191</v>
      </c>
      <c r="O19" t="s">
        <v>89</v>
      </c>
      <c r="P19" t="str">
        <f>"4170071264                    "</f>
        <v xml:space="preserve">4170071264                    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22.24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1</v>
      </c>
      <c r="BI19">
        <v>1</v>
      </c>
      <c r="BJ19">
        <v>0.2</v>
      </c>
      <c r="BK19">
        <v>1</v>
      </c>
      <c r="BL19">
        <v>72.78</v>
      </c>
      <c r="BM19">
        <v>10.92</v>
      </c>
      <c r="BN19">
        <v>83.7</v>
      </c>
      <c r="BO19">
        <v>83.7</v>
      </c>
      <c r="BQ19" t="s">
        <v>192</v>
      </c>
      <c r="BR19" t="s">
        <v>82</v>
      </c>
      <c r="BS19" s="3">
        <v>45995</v>
      </c>
      <c r="BT19" s="4">
        <v>0.42430555555555555</v>
      </c>
      <c r="BU19" t="s">
        <v>193</v>
      </c>
      <c r="BV19" t="s">
        <v>87</v>
      </c>
      <c r="BY19">
        <v>1200</v>
      </c>
      <c r="CA19" t="s">
        <v>194</v>
      </c>
      <c r="CC19" t="s">
        <v>190</v>
      </c>
      <c r="CD19">
        <v>3201</v>
      </c>
      <c r="CE19" t="s">
        <v>134</v>
      </c>
      <c r="CF19" s="3">
        <v>45996</v>
      </c>
      <c r="CI19">
        <v>1</v>
      </c>
      <c r="CJ19">
        <v>3</v>
      </c>
      <c r="CK19">
        <v>21</v>
      </c>
      <c r="CL19" t="s">
        <v>87</v>
      </c>
    </row>
    <row r="20" spans="1:90" x14ac:dyDescent="0.3">
      <c r="A20" t="s">
        <v>72</v>
      </c>
      <c r="B20" t="s">
        <v>73</v>
      </c>
      <c r="C20" t="s">
        <v>74</v>
      </c>
      <c r="E20" t="str">
        <f>"080069576225"</f>
        <v>080069576225</v>
      </c>
      <c r="F20" s="3">
        <v>45992</v>
      </c>
      <c r="G20">
        <v>202609</v>
      </c>
      <c r="H20" t="s">
        <v>75</v>
      </c>
      <c r="I20" t="s">
        <v>76</v>
      </c>
      <c r="J20" t="s">
        <v>77</v>
      </c>
      <c r="K20" t="s">
        <v>78</v>
      </c>
      <c r="L20" t="s">
        <v>75</v>
      </c>
      <c r="M20" t="s">
        <v>76</v>
      </c>
      <c r="N20" t="s">
        <v>195</v>
      </c>
      <c r="O20" t="s">
        <v>89</v>
      </c>
      <c r="P20" t="str">
        <f>"4170071272                    "</f>
        <v xml:space="preserve">4170071272                    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17.37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1</v>
      </c>
      <c r="BI20">
        <v>1</v>
      </c>
      <c r="BJ20">
        <v>0.2</v>
      </c>
      <c r="BK20">
        <v>1</v>
      </c>
      <c r="BL20">
        <v>56.85</v>
      </c>
      <c r="BM20">
        <v>8.5299999999999994</v>
      </c>
      <c r="BN20">
        <v>65.38</v>
      </c>
      <c r="BO20">
        <v>65.38</v>
      </c>
      <c r="BQ20" t="s">
        <v>196</v>
      </c>
      <c r="BR20" t="s">
        <v>82</v>
      </c>
      <c r="BS20" s="3">
        <v>45994</v>
      </c>
      <c r="BT20" s="4">
        <v>0.29444444444444445</v>
      </c>
      <c r="BU20" t="s">
        <v>197</v>
      </c>
      <c r="BV20" t="s">
        <v>87</v>
      </c>
      <c r="BW20" t="s">
        <v>174</v>
      </c>
      <c r="BX20" t="s">
        <v>198</v>
      </c>
      <c r="BY20">
        <v>1200</v>
      </c>
      <c r="CA20" t="s">
        <v>92</v>
      </c>
      <c r="CC20" t="s">
        <v>76</v>
      </c>
      <c r="CD20">
        <v>1600</v>
      </c>
      <c r="CE20" t="s">
        <v>134</v>
      </c>
      <c r="CF20" s="3">
        <v>45995</v>
      </c>
      <c r="CI20">
        <v>1</v>
      </c>
      <c r="CJ20">
        <v>2</v>
      </c>
      <c r="CK20">
        <v>22</v>
      </c>
      <c r="CL20" t="s">
        <v>87</v>
      </c>
    </row>
    <row r="21" spans="1:90" x14ac:dyDescent="0.3">
      <c r="A21" t="s">
        <v>72</v>
      </c>
      <c r="B21" t="s">
        <v>73</v>
      </c>
      <c r="C21" t="s">
        <v>74</v>
      </c>
      <c r="E21" t="str">
        <f>"080069576743"</f>
        <v>080069576743</v>
      </c>
      <c r="F21" s="3">
        <v>45992</v>
      </c>
      <c r="G21">
        <v>202609</v>
      </c>
      <c r="H21" t="s">
        <v>75</v>
      </c>
      <c r="I21" t="s">
        <v>76</v>
      </c>
      <c r="J21" t="s">
        <v>77</v>
      </c>
      <c r="K21" t="s">
        <v>78</v>
      </c>
      <c r="L21" t="s">
        <v>100</v>
      </c>
      <c r="M21" t="s">
        <v>101</v>
      </c>
      <c r="N21" t="s">
        <v>199</v>
      </c>
      <c r="O21" t="s">
        <v>89</v>
      </c>
      <c r="P21" t="str">
        <f>"4170071182                    "</f>
        <v xml:space="preserve">4170071182                    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22.24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1</v>
      </c>
      <c r="BI21">
        <v>1</v>
      </c>
      <c r="BJ21">
        <v>1.5</v>
      </c>
      <c r="BK21">
        <v>1.5</v>
      </c>
      <c r="BL21">
        <v>72.78</v>
      </c>
      <c r="BM21">
        <v>10.92</v>
      </c>
      <c r="BN21">
        <v>83.7</v>
      </c>
      <c r="BO21">
        <v>83.7</v>
      </c>
      <c r="BQ21" t="s">
        <v>200</v>
      </c>
      <c r="BR21" t="s">
        <v>82</v>
      </c>
      <c r="BS21" s="3">
        <v>45993</v>
      </c>
      <c r="BT21" s="4">
        <v>0.46388888888888891</v>
      </c>
      <c r="BU21" t="s">
        <v>201</v>
      </c>
      <c r="BV21" t="s">
        <v>87</v>
      </c>
      <c r="BW21" t="s">
        <v>105</v>
      </c>
      <c r="BX21" t="s">
        <v>106</v>
      </c>
      <c r="BY21">
        <v>7540</v>
      </c>
      <c r="CC21" t="s">
        <v>101</v>
      </c>
      <c r="CD21">
        <v>4001</v>
      </c>
      <c r="CE21" t="s">
        <v>86</v>
      </c>
      <c r="CF21" s="3">
        <v>45994</v>
      </c>
      <c r="CI21">
        <v>1</v>
      </c>
      <c r="CJ21">
        <v>1</v>
      </c>
      <c r="CK21">
        <v>21</v>
      </c>
      <c r="CL21" t="s">
        <v>87</v>
      </c>
    </row>
    <row r="22" spans="1:90" x14ac:dyDescent="0.3">
      <c r="A22" t="s">
        <v>72</v>
      </c>
      <c r="B22" t="s">
        <v>73</v>
      </c>
      <c r="C22" t="s">
        <v>74</v>
      </c>
      <c r="E22" t="str">
        <f>"080069576770"</f>
        <v>080069576770</v>
      </c>
      <c r="F22" s="3">
        <v>45992</v>
      </c>
      <c r="G22">
        <v>202609</v>
      </c>
      <c r="H22" t="s">
        <v>75</v>
      </c>
      <c r="I22" t="s">
        <v>76</v>
      </c>
      <c r="J22" t="s">
        <v>77</v>
      </c>
      <c r="K22" t="s">
        <v>78</v>
      </c>
      <c r="L22" t="s">
        <v>202</v>
      </c>
      <c r="M22" t="s">
        <v>203</v>
      </c>
      <c r="N22" t="s">
        <v>204</v>
      </c>
      <c r="O22" t="s">
        <v>80</v>
      </c>
      <c r="P22" t="str">
        <f>"4170071229                    "</f>
        <v xml:space="preserve">4170071229                    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82.34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1</v>
      </c>
      <c r="BI22">
        <v>21.7</v>
      </c>
      <c r="BJ22">
        <v>18.3</v>
      </c>
      <c r="BK22">
        <v>22</v>
      </c>
      <c r="BL22">
        <v>275.57</v>
      </c>
      <c r="BM22">
        <v>41.34</v>
      </c>
      <c r="BN22">
        <v>316.91000000000003</v>
      </c>
      <c r="BO22">
        <v>316.91000000000003</v>
      </c>
      <c r="BQ22" t="s">
        <v>205</v>
      </c>
      <c r="BR22" t="s">
        <v>82</v>
      </c>
      <c r="BS22" s="3">
        <v>45993</v>
      </c>
      <c r="BT22" s="4">
        <v>0.48680555555555555</v>
      </c>
      <c r="BU22" t="s">
        <v>206</v>
      </c>
      <c r="BV22" t="s">
        <v>84</v>
      </c>
      <c r="BY22">
        <v>91724.160000000003</v>
      </c>
      <c r="CA22" t="s">
        <v>207</v>
      </c>
      <c r="CC22" t="s">
        <v>203</v>
      </c>
      <c r="CD22">
        <v>2531</v>
      </c>
      <c r="CE22" t="s">
        <v>86</v>
      </c>
      <c r="CF22" s="3">
        <v>45994</v>
      </c>
      <c r="CI22">
        <v>1</v>
      </c>
      <c r="CJ22">
        <v>1</v>
      </c>
      <c r="CK22">
        <v>43</v>
      </c>
      <c r="CL22" t="s">
        <v>87</v>
      </c>
    </row>
    <row r="23" spans="1:90" x14ac:dyDescent="0.3">
      <c r="A23" t="s">
        <v>72</v>
      </c>
      <c r="B23" t="s">
        <v>73</v>
      </c>
      <c r="C23" t="s">
        <v>74</v>
      </c>
      <c r="E23" t="str">
        <f>"080069576849"</f>
        <v>080069576849</v>
      </c>
      <c r="F23" s="3">
        <v>45992</v>
      </c>
      <c r="G23">
        <v>202609</v>
      </c>
      <c r="H23" t="s">
        <v>75</v>
      </c>
      <c r="I23" t="s">
        <v>76</v>
      </c>
      <c r="J23" t="s">
        <v>77</v>
      </c>
      <c r="K23" t="s">
        <v>78</v>
      </c>
      <c r="L23" t="s">
        <v>208</v>
      </c>
      <c r="M23" t="s">
        <v>209</v>
      </c>
      <c r="N23" t="s">
        <v>210</v>
      </c>
      <c r="O23" t="s">
        <v>89</v>
      </c>
      <c r="P23" t="str">
        <f>"4170071256                    "</f>
        <v xml:space="preserve">4170071256                    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22.24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1</v>
      </c>
      <c r="BI23">
        <v>1</v>
      </c>
      <c r="BJ23">
        <v>1.4</v>
      </c>
      <c r="BK23">
        <v>1.5</v>
      </c>
      <c r="BL23">
        <v>72.78</v>
      </c>
      <c r="BM23">
        <v>10.92</v>
      </c>
      <c r="BN23">
        <v>83.7</v>
      </c>
      <c r="BO23">
        <v>83.7</v>
      </c>
      <c r="BQ23" t="s">
        <v>211</v>
      </c>
      <c r="BR23" t="s">
        <v>82</v>
      </c>
      <c r="BS23" s="3">
        <v>45993</v>
      </c>
      <c r="BT23" s="4">
        <v>0.40972222222222221</v>
      </c>
      <c r="BU23" t="s">
        <v>212</v>
      </c>
      <c r="BV23" t="s">
        <v>84</v>
      </c>
      <c r="BY23">
        <v>7000</v>
      </c>
      <c r="CA23">
        <v>7712195338085</v>
      </c>
      <c r="CC23" t="s">
        <v>209</v>
      </c>
      <c r="CD23" s="5" t="s">
        <v>213</v>
      </c>
      <c r="CE23" t="s">
        <v>86</v>
      </c>
      <c r="CF23" s="3">
        <v>45993</v>
      </c>
      <c r="CI23">
        <v>1</v>
      </c>
      <c r="CJ23">
        <v>1</v>
      </c>
      <c r="CK23">
        <v>21</v>
      </c>
      <c r="CL23" t="s">
        <v>87</v>
      </c>
    </row>
    <row r="24" spans="1:90" x14ac:dyDescent="0.3">
      <c r="A24" t="s">
        <v>72</v>
      </c>
      <c r="B24" t="s">
        <v>73</v>
      </c>
      <c r="C24" t="s">
        <v>74</v>
      </c>
      <c r="E24" t="str">
        <f>"080069576858"</f>
        <v>080069576858</v>
      </c>
      <c r="F24" s="3">
        <v>45992</v>
      </c>
      <c r="G24">
        <v>202609</v>
      </c>
      <c r="H24" t="s">
        <v>75</v>
      </c>
      <c r="I24" t="s">
        <v>76</v>
      </c>
      <c r="J24" t="s">
        <v>77</v>
      </c>
      <c r="K24" t="s">
        <v>78</v>
      </c>
      <c r="L24" t="s">
        <v>141</v>
      </c>
      <c r="M24" t="s">
        <v>142</v>
      </c>
      <c r="N24" t="s">
        <v>214</v>
      </c>
      <c r="O24" t="s">
        <v>89</v>
      </c>
      <c r="P24" t="str">
        <f>"4170071292                    "</f>
        <v xml:space="preserve">4170071292                    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22.24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1</v>
      </c>
      <c r="BI24">
        <v>2</v>
      </c>
      <c r="BJ24">
        <v>2</v>
      </c>
      <c r="BK24">
        <v>2</v>
      </c>
      <c r="BL24">
        <v>72.78</v>
      </c>
      <c r="BM24">
        <v>10.92</v>
      </c>
      <c r="BN24">
        <v>83.7</v>
      </c>
      <c r="BO24">
        <v>83.7</v>
      </c>
      <c r="BQ24" t="s">
        <v>215</v>
      </c>
      <c r="BR24" t="s">
        <v>82</v>
      </c>
      <c r="BS24" s="3">
        <v>45993</v>
      </c>
      <c r="BT24" s="4">
        <v>0.39097222222222222</v>
      </c>
      <c r="BU24" t="s">
        <v>216</v>
      </c>
      <c r="BV24" t="s">
        <v>84</v>
      </c>
      <c r="BY24">
        <v>9918</v>
      </c>
      <c r="BZ24" t="s">
        <v>125</v>
      </c>
      <c r="CA24" t="s">
        <v>217</v>
      </c>
      <c r="CC24" t="s">
        <v>142</v>
      </c>
      <c r="CD24">
        <v>6001</v>
      </c>
      <c r="CE24" t="s">
        <v>147</v>
      </c>
      <c r="CF24" s="3">
        <v>45993</v>
      </c>
      <c r="CI24">
        <v>1</v>
      </c>
      <c r="CJ24">
        <v>1</v>
      </c>
      <c r="CK24">
        <v>21</v>
      </c>
      <c r="CL24" t="s">
        <v>87</v>
      </c>
    </row>
    <row r="25" spans="1:90" x14ac:dyDescent="0.3">
      <c r="A25" t="s">
        <v>72</v>
      </c>
      <c r="B25" t="s">
        <v>73</v>
      </c>
      <c r="C25" t="s">
        <v>74</v>
      </c>
      <c r="E25" t="str">
        <f>"080069576962"</f>
        <v>080069576962</v>
      </c>
      <c r="F25" s="3">
        <v>45992</v>
      </c>
      <c r="G25">
        <v>202609</v>
      </c>
      <c r="H25" t="s">
        <v>75</v>
      </c>
      <c r="I25" t="s">
        <v>76</v>
      </c>
      <c r="J25" t="s">
        <v>77</v>
      </c>
      <c r="K25" t="s">
        <v>78</v>
      </c>
      <c r="L25" t="s">
        <v>218</v>
      </c>
      <c r="M25" t="s">
        <v>219</v>
      </c>
      <c r="N25" t="s">
        <v>220</v>
      </c>
      <c r="O25" t="s">
        <v>89</v>
      </c>
      <c r="P25" t="str">
        <f>"4170071179                    "</f>
        <v xml:space="preserve">4170071179                    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43.09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1</v>
      </c>
      <c r="BI25">
        <v>1</v>
      </c>
      <c r="BJ25">
        <v>0.9</v>
      </c>
      <c r="BK25">
        <v>1</v>
      </c>
      <c r="BL25">
        <v>141.02000000000001</v>
      </c>
      <c r="BM25">
        <v>21.15</v>
      </c>
      <c r="BN25">
        <v>162.16999999999999</v>
      </c>
      <c r="BO25">
        <v>162.16999999999999</v>
      </c>
      <c r="BQ25" t="s">
        <v>221</v>
      </c>
      <c r="BR25" t="s">
        <v>82</v>
      </c>
      <c r="BS25" s="3">
        <v>45993</v>
      </c>
      <c r="BT25" s="4">
        <v>0.2986111111111111</v>
      </c>
      <c r="BU25" t="s">
        <v>222</v>
      </c>
      <c r="BV25" t="s">
        <v>84</v>
      </c>
      <c r="BY25">
        <v>4560</v>
      </c>
      <c r="CC25" t="s">
        <v>219</v>
      </c>
      <c r="CD25">
        <v>2740</v>
      </c>
      <c r="CE25" t="s">
        <v>86</v>
      </c>
      <c r="CF25" s="3">
        <v>45994</v>
      </c>
      <c r="CI25">
        <v>1</v>
      </c>
      <c r="CJ25">
        <v>1</v>
      </c>
      <c r="CK25">
        <v>23</v>
      </c>
      <c r="CL25" t="s">
        <v>87</v>
      </c>
    </row>
    <row r="26" spans="1:90" x14ac:dyDescent="0.3">
      <c r="A26" t="s">
        <v>72</v>
      </c>
      <c r="B26" t="s">
        <v>73</v>
      </c>
      <c r="C26" t="s">
        <v>74</v>
      </c>
      <c r="E26" t="str">
        <f>"080069577002"</f>
        <v>080069577002</v>
      </c>
      <c r="F26" s="3">
        <v>45992</v>
      </c>
      <c r="G26">
        <v>202609</v>
      </c>
      <c r="H26" t="s">
        <v>75</v>
      </c>
      <c r="I26" t="s">
        <v>76</v>
      </c>
      <c r="J26" t="s">
        <v>77</v>
      </c>
      <c r="K26" t="s">
        <v>78</v>
      </c>
      <c r="L26" t="s">
        <v>141</v>
      </c>
      <c r="M26" t="s">
        <v>142</v>
      </c>
      <c r="N26" t="s">
        <v>214</v>
      </c>
      <c r="O26" t="s">
        <v>89</v>
      </c>
      <c r="P26" t="str">
        <f>"4170071181                    "</f>
        <v xml:space="preserve">4170071181                    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66.7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1</v>
      </c>
      <c r="BI26">
        <v>6</v>
      </c>
      <c r="BJ26">
        <v>4.5999999999999996</v>
      </c>
      <c r="BK26">
        <v>6</v>
      </c>
      <c r="BL26">
        <v>218.28</v>
      </c>
      <c r="BM26">
        <v>32.74</v>
      </c>
      <c r="BN26">
        <v>251.02</v>
      </c>
      <c r="BO26">
        <v>251.02</v>
      </c>
      <c r="BQ26" t="s">
        <v>215</v>
      </c>
      <c r="BR26" t="s">
        <v>82</v>
      </c>
      <c r="BS26" s="3">
        <v>45993</v>
      </c>
      <c r="BT26" s="4">
        <v>0.3888888888888889</v>
      </c>
      <c r="BU26" t="s">
        <v>223</v>
      </c>
      <c r="BV26" t="s">
        <v>84</v>
      </c>
      <c r="BY26">
        <v>23040</v>
      </c>
      <c r="BZ26" t="s">
        <v>125</v>
      </c>
      <c r="CA26" t="s">
        <v>224</v>
      </c>
      <c r="CC26" t="s">
        <v>142</v>
      </c>
      <c r="CD26">
        <v>6001</v>
      </c>
      <c r="CE26" t="s">
        <v>93</v>
      </c>
      <c r="CF26" s="3">
        <v>45993</v>
      </c>
      <c r="CI26">
        <v>1</v>
      </c>
      <c r="CJ26">
        <v>1</v>
      </c>
      <c r="CK26">
        <v>21</v>
      </c>
      <c r="CL26" t="s">
        <v>87</v>
      </c>
    </row>
    <row r="27" spans="1:90" x14ac:dyDescent="0.3">
      <c r="A27" t="s">
        <v>72</v>
      </c>
      <c r="B27" t="s">
        <v>73</v>
      </c>
      <c r="C27" t="s">
        <v>74</v>
      </c>
      <c r="E27" t="str">
        <f>"080069577390"</f>
        <v>080069577390</v>
      </c>
      <c r="F27" s="3">
        <v>45992</v>
      </c>
      <c r="G27">
        <v>202609</v>
      </c>
      <c r="H27" t="s">
        <v>75</v>
      </c>
      <c r="I27" t="s">
        <v>76</v>
      </c>
      <c r="J27" t="s">
        <v>77</v>
      </c>
      <c r="K27" t="s">
        <v>78</v>
      </c>
      <c r="L27" t="s">
        <v>128</v>
      </c>
      <c r="M27" t="s">
        <v>129</v>
      </c>
      <c r="N27" t="s">
        <v>130</v>
      </c>
      <c r="O27" t="s">
        <v>89</v>
      </c>
      <c r="P27" t="str">
        <f>"4170071237                    "</f>
        <v xml:space="preserve">4170071237                    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22.24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1</v>
      </c>
      <c r="BI27">
        <v>1</v>
      </c>
      <c r="BJ27">
        <v>0.2</v>
      </c>
      <c r="BK27">
        <v>1</v>
      </c>
      <c r="BL27">
        <v>72.78</v>
      </c>
      <c r="BM27">
        <v>10.92</v>
      </c>
      <c r="BN27">
        <v>83.7</v>
      </c>
      <c r="BO27">
        <v>83.7</v>
      </c>
      <c r="BQ27" t="s">
        <v>131</v>
      </c>
      <c r="BR27" t="s">
        <v>82</v>
      </c>
      <c r="BS27" s="3">
        <v>45994</v>
      </c>
      <c r="BT27" s="4">
        <v>0.67361111111111116</v>
      </c>
      <c r="BU27" t="s">
        <v>132</v>
      </c>
      <c r="BV27" t="s">
        <v>84</v>
      </c>
      <c r="BY27">
        <v>1200</v>
      </c>
      <c r="CA27" t="s">
        <v>133</v>
      </c>
      <c r="CC27" t="s">
        <v>129</v>
      </c>
      <c r="CD27">
        <v>5201</v>
      </c>
      <c r="CE27" t="s">
        <v>134</v>
      </c>
      <c r="CF27" s="3">
        <v>45995</v>
      </c>
      <c r="CI27">
        <v>5</v>
      </c>
      <c r="CJ27">
        <v>2</v>
      </c>
      <c r="CK27">
        <v>21</v>
      </c>
      <c r="CL27" t="s">
        <v>87</v>
      </c>
    </row>
    <row r="28" spans="1:90" x14ac:dyDescent="0.3">
      <c r="A28" t="s">
        <v>72</v>
      </c>
      <c r="B28" t="s">
        <v>73</v>
      </c>
      <c r="C28" t="s">
        <v>74</v>
      </c>
      <c r="E28" t="str">
        <f>"080069577470"</f>
        <v>080069577470</v>
      </c>
      <c r="F28" s="3">
        <v>45992</v>
      </c>
      <c r="G28">
        <v>202609</v>
      </c>
      <c r="H28" t="s">
        <v>75</v>
      </c>
      <c r="I28" t="s">
        <v>76</v>
      </c>
      <c r="J28" t="s">
        <v>77</v>
      </c>
      <c r="K28" t="s">
        <v>78</v>
      </c>
      <c r="L28" t="s">
        <v>202</v>
      </c>
      <c r="M28" t="s">
        <v>203</v>
      </c>
      <c r="N28" t="s">
        <v>204</v>
      </c>
      <c r="O28" t="s">
        <v>89</v>
      </c>
      <c r="P28" t="str">
        <f>"4170071285                    "</f>
        <v xml:space="preserve">4170071285                    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43.09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1</v>
      </c>
      <c r="BI28">
        <v>1</v>
      </c>
      <c r="BJ28">
        <v>0.2</v>
      </c>
      <c r="BK28">
        <v>1</v>
      </c>
      <c r="BL28">
        <v>141.02000000000001</v>
      </c>
      <c r="BM28">
        <v>21.15</v>
      </c>
      <c r="BN28">
        <v>162.16999999999999</v>
      </c>
      <c r="BO28">
        <v>162.16999999999999</v>
      </c>
      <c r="BQ28" t="s">
        <v>205</v>
      </c>
      <c r="BR28" t="s">
        <v>82</v>
      </c>
      <c r="BS28" s="3">
        <v>45993</v>
      </c>
      <c r="BT28" s="4">
        <v>0.49236111111111114</v>
      </c>
      <c r="BU28" t="s">
        <v>225</v>
      </c>
      <c r="BV28" t="s">
        <v>84</v>
      </c>
      <c r="BY28">
        <v>1200</v>
      </c>
      <c r="CA28" t="s">
        <v>207</v>
      </c>
      <c r="CC28" t="s">
        <v>203</v>
      </c>
      <c r="CD28">
        <v>2531</v>
      </c>
      <c r="CE28" t="s">
        <v>134</v>
      </c>
      <c r="CF28" s="3">
        <v>45994</v>
      </c>
      <c r="CI28">
        <v>1</v>
      </c>
      <c r="CJ28">
        <v>1</v>
      </c>
      <c r="CK28">
        <v>23</v>
      </c>
      <c r="CL28" t="s">
        <v>87</v>
      </c>
    </row>
    <row r="29" spans="1:90" x14ac:dyDescent="0.3">
      <c r="A29" t="s">
        <v>72</v>
      </c>
      <c r="B29" t="s">
        <v>73</v>
      </c>
      <c r="C29" t="s">
        <v>74</v>
      </c>
      <c r="E29" t="str">
        <f>"080069577568"</f>
        <v>080069577568</v>
      </c>
      <c r="F29" s="3">
        <v>45992</v>
      </c>
      <c r="G29">
        <v>202609</v>
      </c>
      <c r="H29" t="s">
        <v>75</v>
      </c>
      <c r="I29" t="s">
        <v>76</v>
      </c>
      <c r="J29" t="s">
        <v>77</v>
      </c>
      <c r="K29" t="s">
        <v>78</v>
      </c>
      <c r="L29" t="s">
        <v>202</v>
      </c>
      <c r="M29" t="s">
        <v>203</v>
      </c>
      <c r="N29" t="s">
        <v>204</v>
      </c>
      <c r="O29" t="s">
        <v>89</v>
      </c>
      <c r="P29" t="str">
        <f>"4170071283                    "</f>
        <v xml:space="preserve">4170071283                    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111.19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1</v>
      </c>
      <c r="BI29">
        <v>5.0999999999999996</v>
      </c>
      <c r="BJ29">
        <v>1.4</v>
      </c>
      <c r="BK29">
        <v>5.5</v>
      </c>
      <c r="BL29">
        <v>363.89</v>
      </c>
      <c r="BM29">
        <v>54.58</v>
      </c>
      <c r="BN29">
        <v>418.47</v>
      </c>
      <c r="BO29">
        <v>418.47</v>
      </c>
      <c r="BQ29" t="s">
        <v>205</v>
      </c>
      <c r="BR29" t="s">
        <v>82</v>
      </c>
      <c r="BS29" s="3">
        <v>45993</v>
      </c>
      <c r="BT29" s="4">
        <v>0.48749999999999999</v>
      </c>
      <c r="BU29" t="s">
        <v>206</v>
      </c>
      <c r="BV29" t="s">
        <v>84</v>
      </c>
      <c r="BY29">
        <v>6850</v>
      </c>
      <c r="CA29" t="s">
        <v>207</v>
      </c>
      <c r="CC29" t="s">
        <v>203</v>
      </c>
      <c r="CD29">
        <v>2531</v>
      </c>
      <c r="CE29" t="s">
        <v>86</v>
      </c>
      <c r="CF29" s="3">
        <v>45994</v>
      </c>
      <c r="CI29">
        <v>1</v>
      </c>
      <c r="CJ29">
        <v>1</v>
      </c>
      <c r="CK29">
        <v>23</v>
      </c>
      <c r="CL29" t="s">
        <v>87</v>
      </c>
    </row>
    <row r="30" spans="1:90" x14ac:dyDescent="0.3">
      <c r="A30" t="s">
        <v>72</v>
      </c>
      <c r="B30" t="s">
        <v>73</v>
      </c>
      <c r="C30" t="s">
        <v>74</v>
      </c>
      <c r="E30" t="str">
        <f>"080069577664"</f>
        <v>080069577664</v>
      </c>
      <c r="F30" s="3">
        <v>45992</v>
      </c>
      <c r="G30">
        <v>202609</v>
      </c>
      <c r="H30" t="s">
        <v>75</v>
      </c>
      <c r="I30" t="s">
        <v>76</v>
      </c>
      <c r="J30" t="s">
        <v>77</v>
      </c>
      <c r="K30" t="s">
        <v>78</v>
      </c>
      <c r="L30" t="s">
        <v>75</v>
      </c>
      <c r="M30" t="s">
        <v>76</v>
      </c>
      <c r="N30" t="s">
        <v>226</v>
      </c>
      <c r="O30" t="s">
        <v>89</v>
      </c>
      <c r="P30" t="str">
        <f>"4170071207                    "</f>
        <v xml:space="preserve">4170071207                    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17.37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1</v>
      </c>
      <c r="BI30">
        <v>4</v>
      </c>
      <c r="BJ30">
        <v>7</v>
      </c>
      <c r="BK30">
        <v>7</v>
      </c>
      <c r="BL30">
        <v>56.85</v>
      </c>
      <c r="BM30">
        <v>8.5299999999999994</v>
      </c>
      <c r="BN30">
        <v>65.38</v>
      </c>
      <c r="BO30">
        <v>65.38</v>
      </c>
      <c r="BQ30" t="s">
        <v>227</v>
      </c>
      <c r="BR30" t="s">
        <v>82</v>
      </c>
      <c r="BS30" s="3">
        <v>45993</v>
      </c>
      <c r="BT30" s="4">
        <v>0.3576388888888889</v>
      </c>
      <c r="BU30" t="s">
        <v>228</v>
      </c>
      <c r="BV30" t="s">
        <v>84</v>
      </c>
      <c r="BY30">
        <v>35000</v>
      </c>
      <c r="CA30" t="s">
        <v>92</v>
      </c>
      <c r="CC30" t="s">
        <v>76</v>
      </c>
      <c r="CD30">
        <v>1619</v>
      </c>
      <c r="CE30" t="s">
        <v>229</v>
      </c>
      <c r="CF30" s="3">
        <v>45994</v>
      </c>
      <c r="CI30">
        <v>1</v>
      </c>
      <c r="CJ30">
        <v>1</v>
      </c>
      <c r="CK30">
        <v>22</v>
      </c>
      <c r="CL30" t="s">
        <v>87</v>
      </c>
    </row>
    <row r="31" spans="1:90" x14ac:dyDescent="0.3">
      <c r="A31" t="s">
        <v>72</v>
      </c>
      <c r="B31" t="s">
        <v>73</v>
      </c>
      <c r="C31" t="s">
        <v>74</v>
      </c>
      <c r="E31" t="str">
        <f>"080069577740"</f>
        <v>080069577740</v>
      </c>
      <c r="F31" s="3">
        <v>45992</v>
      </c>
      <c r="G31">
        <v>202609</v>
      </c>
      <c r="H31" t="s">
        <v>75</v>
      </c>
      <c r="I31" t="s">
        <v>76</v>
      </c>
      <c r="J31" t="s">
        <v>77</v>
      </c>
      <c r="K31" t="s">
        <v>78</v>
      </c>
      <c r="L31" t="s">
        <v>94</v>
      </c>
      <c r="M31" t="s">
        <v>95</v>
      </c>
      <c r="N31" t="s">
        <v>230</v>
      </c>
      <c r="O31" t="s">
        <v>89</v>
      </c>
      <c r="P31" t="str">
        <f>"4170071176                    "</f>
        <v xml:space="preserve">4170071176                    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55.58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1</v>
      </c>
      <c r="BI31">
        <v>5</v>
      </c>
      <c r="BJ31">
        <v>4.0999999999999996</v>
      </c>
      <c r="BK31">
        <v>5</v>
      </c>
      <c r="BL31">
        <v>181.9</v>
      </c>
      <c r="BM31">
        <v>27.29</v>
      </c>
      <c r="BN31">
        <v>209.19</v>
      </c>
      <c r="BO31">
        <v>209.19</v>
      </c>
      <c r="BQ31" t="s">
        <v>231</v>
      </c>
      <c r="BR31" t="s">
        <v>82</v>
      </c>
      <c r="BS31" s="3">
        <v>45993</v>
      </c>
      <c r="BT31" s="4">
        <v>0.3972222222222222</v>
      </c>
      <c r="BU31" t="s">
        <v>232</v>
      </c>
      <c r="BV31" t="s">
        <v>84</v>
      </c>
      <c r="BY31">
        <v>20358</v>
      </c>
      <c r="CC31" t="s">
        <v>95</v>
      </c>
      <c r="CD31">
        <v>3608</v>
      </c>
      <c r="CE31" t="s">
        <v>86</v>
      </c>
      <c r="CF31" s="3">
        <v>45993</v>
      </c>
      <c r="CI31">
        <v>1</v>
      </c>
      <c r="CJ31">
        <v>1</v>
      </c>
      <c r="CK31">
        <v>21</v>
      </c>
      <c r="CL31" t="s">
        <v>87</v>
      </c>
    </row>
    <row r="32" spans="1:90" x14ac:dyDescent="0.3">
      <c r="A32" t="s">
        <v>72</v>
      </c>
      <c r="B32" t="s">
        <v>73</v>
      </c>
      <c r="C32" t="s">
        <v>74</v>
      </c>
      <c r="E32" t="str">
        <f>"080069577880"</f>
        <v>080069577880</v>
      </c>
      <c r="F32" s="3">
        <v>45992</v>
      </c>
      <c r="G32">
        <v>202609</v>
      </c>
      <c r="H32" t="s">
        <v>75</v>
      </c>
      <c r="I32" t="s">
        <v>76</v>
      </c>
      <c r="J32" t="s">
        <v>77</v>
      </c>
      <c r="K32" t="s">
        <v>78</v>
      </c>
      <c r="L32" t="s">
        <v>218</v>
      </c>
      <c r="M32" t="s">
        <v>219</v>
      </c>
      <c r="N32" t="s">
        <v>220</v>
      </c>
      <c r="O32" t="s">
        <v>89</v>
      </c>
      <c r="P32" t="str">
        <f>"4170071202                    "</f>
        <v xml:space="preserve">4170071202                    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130.63999999999999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1</v>
      </c>
      <c r="BI32">
        <v>6.5</v>
      </c>
      <c r="BJ32">
        <v>3.6</v>
      </c>
      <c r="BK32">
        <v>6.5</v>
      </c>
      <c r="BL32">
        <v>427.56</v>
      </c>
      <c r="BM32">
        <v>64.13</v>
      </c>
      <c r="BN32">
        <v>491.69</v>
      </c>
      <c r="BO32">
        <v>491.69</v>
      </c>
      <c r="BQ32" t="s">
        <v>221</v>
      </c>
      <c r="BR32" t="s">
        <v>82</v>
      </c>
      <c r="BS32" s="3">
        <v>45993</v>
      </c>
      <c r="BT32" s="4">
        <v>0.2986111111111111</v>
      </c>
      <c r="BU32" t="s">
        <v>222</v>
      </c>
      <c r="BV32" t="s">
        <v>84</v>
      </c>
      <c r="BY32">
        <v>17760.82</v>
      </c>
      <c r="CC32" t="s">
        <v>219</v>
      </c>
      <c r="CD32">
        <v>2740</v>
      </c>
      <c r="CE32" t="s">
        <v>233</v>
      </c>
      <c r="CF32" s="3">
        <v>45994</v>
      </c>
      <c r="CI32">
        <v>1</v>
      </c>
      <c r="CJ32">
        <v>1</v>
      </c>
      <c r="CK32">
        <v>23</v>
      </c>
      <c r="CL32" t="s">
        <v>87</v>
      </c>
    </row>
    <row r="33" spans="1:90" x14ac:dyDescent="0.3">
      <c r="A33" t="s">
        <v>72</v>
      </c>
      <c r="B33" t="s">
        <v>73</v>
      </c>
      <c r="C33" t="s">
        <v>74</v>
      </c>
      <c r="E33" t="str">
        <f>"080069578021"</f>
        <v>080069578021</v>
      </c>
      <c r="F33" s="3">
        <v>45992</v>
      </c>
      <c r="G33">
        <v>202609</v>
      </c>
      <c r="H33" t="s">
        <v>75</v>
      </c>
      <c r="I33" t="s">
        <v>76</v>
      </c>
      <c r="J33" t="s">
        <v>77</v>
      </c>
      <c r="K33" t="s">
        <v>78</v>
      </c>
      <c r="L33" t="s">
        <v>100</v>
      </c>
      <c r="M33" t="s">
        <v>101</v>
      </c>
      <c r="N33" t="s">
        <v>234</v>
      </c>
      <c r="O33" t="s">
        <v>89</v>
      </c>
      <c r="P33" t="str">
        <f>"4170071291                    "</f>
        <v xml:space="preserve">4170071291                    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33.35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1</v>
      </c>
      <c r="BI33">
        <v>1</v>
      </c>
      <c r="BJ33">
        <v>2.6</v>
      </c>
      <c r="BK33">
        <v>3</v>
      </c>
      <c r="BL33">
        <v>109.15</v>
      </c>
      <c r="BM33">
        <v>16.37</v>
      </c>
      <c r="BN33">
        <v>125.52</v>
      </c>
      <c r="BO33">
        <v>125.52</v>
      </c>
      <c r="BQ33" t="s">
        <v>235</v>
      </c>
      <c r="BR33" t="s">
        <v>82</v>
      </c>
      <c r="BS33" s="3">
        <v>45994</v>
      </c>
      <c r="BT33" s="4">
        <v>0.40486111111111112</v>
      </c>
      <c r="BU33" t="s">
        <v>236</v>
      </c>
      <c r="BV33" t="s">
        <v>87</v>
      </c>
      <c r="BY33">
        <v>12816</v>
      </c>
      <c r="CA33" t="s">
        <v>237</v>
      </c>
      <c r="CC33" t="s">
        <v>101</v>
      </c>
      <c r="CD33">
        <v>3629</v>
      </c>
      <c r="CE33" t="s">
        <v>233</v>
      </c>
      <c r="CF33" s="3">
        <v>45996</v>
      </c>
      <c r="CI33">
        <v>1</v>
      </c>
      <c r="CJ33">
        <v>2</v>
      </c>
      <c r="CK33">
        <v>21</v>
      </c>
      <c r="CL33" t="s">
        <v>87</v>
      </c>
    </row>
    <row r="34" spans="1:90" x14ac:dyDescent="0.3">
      <c r="A34" t="s">
        <v>72</v>
      </c>
      <c r="B34" t="s">
        <v>73</v>
      </c>
      <c r="C34" t="s">
        <v>74</v>
      </c>
      <c r="E34" t="str">
        <f>"080069578184"</f>
        <v>080069578184</v>
      </c>
      <c r="F34" s="3">
        <v>45992</v>
      </c>
      <c r="G34">
        <v>202609</v>
      </c>
      <c r="H34" t="s">
        <v>75</v>
      </c>
      <c r="I34" t="s">
        <v>76</v>
      </c>
      <c r="J34" t="s">
        <v>77</v>
      </c>
      <c r="K34" t="s">
        <v>78</v>
      </c>
      <c r="L34" t="s">
        <v>94</v>
      </c>
      <c r="M34" t="s">
        <v>95</v>
      </c>
      <c r="N34" t="s">
        <v>238</v>
      </c>
      <c r="O34" t="s">
        <v>89</v>
      </c>
      <c r="P34" t="str">
        <f>"4170071261                    "</f>
        <v xml:space="preserve">4170071261                    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61.14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1</v>
      </c>
      <c r="BI34">
        <v>4</v>
      </c>
      <c r="BJ34">
        <v>5.5</v>
      </c>
      <c r="BK34">
        <v>5.5</v>
      </c>
      <c r="BL34">
        <v>200.09</v>
      </c>
      <c r="BM34">
        <v>30.01</v>
      </c>
      <c r="BN34">
        <v>230.1</v>
      </c>
      <c r="BO34">
        <v>230.1</v>
      </c>
      <c r="BQ34" t="s">
        <v>239</v>
      </c>
      <c r="BR34" t="s">
        <v>82</v>
      </c>
      <c r="BS34" s="3">
        <v>45993</v>
      </c>
      <c r="BT34" s="4">
        <v>0.43194444444444446</v>
      </c>
      <c r="BU34" t="s">
        <v>240</v>
      </c>
      <c r="BV34" t="s">
        <v>84</v>
      </c>
      <c r="BY34">
        <v>27744</v>
      </c>
      <c r="BZ34" t="s">
        <v>125</v>
      </c>
      <c r="CC34" t="s">
        <v>95</v>
      </c>
      <c r="CD34">
        <v>3610</v>
      </c>
      <c r="CE34" t="s">
        <v>93</v>
      </c>
      <c r="CF34" s="3">
        <v>45993</v>
      </c>
      <c r="CI34">
        <v>1</v>
      </c>
      <c r="CJ34">
        <v>1</v>
      </c>
      <c r="CK34">
        <v>21</v>
      </c>
      <c r="CL34" t="s">
        <v>87</v>
      </c>
    </row>
    <row r="35" spans="1:90" x14ac:dyDescent="0.3">
      <c r="A35" t="s">
        <v>72</v>
      </c>
      <c r="B35" t="s">
        <v>73</v>
      </c>
      <c r="C35" t="s">
        <v>74</v>
      </c>
      <c r="E35" t="str">
        <f>"080069578280"</f>
        <v>080069578280</v>
      </c>
      <c r="F35" s="3">
        <v>45992</v>
      </c>
      <c r="G35">
        <v>202609</v>
      </c>
      <c r="H35" t="s">
        <v>75</v>
      </c>
      <c r="I35" t="s">
        <v>76</v>
      </c>
      <c r="J35" t="s">
        <v>77</v>
      </c>
      <c r="K35" t="s">
        <v>78</v>
      </c>
      <c r="L35" t="s">
        <v>241</v>
      </c>
      <c r="M35" t="s">
        <v>242</v>
      </c>
      <c r="N35" t="s">
        <v>243</v>
      </c>
      <c r="O35" t="s">
        <v>89</v>
      </c>
      <c r="P35" t="str">
        <f>"4170071270                    "</f>
        <v xml:space="preserve">4170071270                    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22.24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1</v>
      </c>
      <c r="BI35">
        <v>1</v>
      </c>
      <c r="BJ35">
        <v>1.1000000000000001</v>
      </c>
      <c r="BK35">
        <v>1.5</v>
      </c>
      <c r="BL35">
        <v>72.78</v>
      </c>
      <c r="BM35">
        <v>10.92</v>
      </c>
      <c r="BN35">
        <v>83.7</v>
      </c>
      <c r="BO35">
        <v>83.7</v>
      </c>
      <c r="BQ35" t="s">
        <v>244</v>
      </c>
      <c r="BR35" t="s">
        <v>82</v>
      </c>
      <c r="BS35" s="3">
        <v>45994</v>
      </c>
      <c r="BT35" s="4">
        <v>0.39444444444444443</v>
      </c>
      <c r="BU35" t="s">
        <v>245</v>
      </c>
      <c r="BV35" t="s">
        <v>87</v>
      </c>
      <c r="BW35" t="s">
        <v>246</v>
      </c>
      <c r="BX35" t="s">
        <v>247</v>
      </c>
      <c r="BY35">
        <v>5510</v>
      </c>
      <c r="CA35" t="s">
        <v>248</v>
      </c>
      <c r="CC35" t="s">
        <v>242</v>
      </c>
      <c r="CD35">
        <v>4302</v>
      </c>
      <c r="CE35" t="s">
        <v>86</v>
      </c>
      <c r="CF35" s="3">
        <v>45994</v>
      </c>
      <c r="CI35">
        <v>1</v>
      </c>
      <c r="CJ35">
        <v>2</v>
      </c>
      <c r="CK35">
        <v>21</v>
      </c>
      <c r="CL35" t="s">
        <v>87</v>
      </c>
    </row>
    <row r="36" spans="1:90" x14ac:dyDescent="0.3">
      <c r="A36" t="s">
        <v>72</v>
      </c>
      <c r="B36" t="s">
        <v>73</v>
      </c>
      <c r="C36" t="s">
        <v>74</v>
      </c>
      <c r="E36" t="str">
        <f>"080069578424"</f>
        <v>080069578424</v>
      </c>
      <c r="F36" s="3">
        <v>45992</v>
      </c>
      <c r="G36">
        <v>202609</v>
      </c>
      <c r="H36" t="s">
        <v>75</v>
      </c>
      <c r="I36" t="s">
        <v>76</v>
      </c>
      <c r="J36" t="s">
        <v>77</v>
      </c>
      <c r="K36" t="s">
        <v>78</v>
      </c>
      <c r="L36" t="s">
        <v>100</v>
      </c>
      <c r="M36" t="s">
        <v>101</v>
      </c>
      <c r="N36" t="s">
        <v>249</v>
      </c>
      <c r="O36" t="s">
        <v>89</v>
      </c>
      <c r="P36" t="str">
        <f>"4170071196                    "</f>
        <v xml:space="preserve">4170071196                    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22.24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1</v>
      </c>
      <c r="BI36">
        <v>1</v>
      </c>
      <c r="BJ36">
        <v>1.9</v>
      </c>
      <c r="BK36">
        <v>2</v>
      </c>
      <c r="BL36">
        <v>72.78</v>
      </c>
      <c r="BM36">
        <v>10.92</v>
      </c>
      <c r="BN36">
        <v>83.7</v>
      </c>
      <c r="BO36">
        <v>83.7</v>
      </c>
      <c r="BQ36" t="s">
        <v>250</v>
      </c>
      <c r="BR36" t="s">
        <v>82</v>
      </c>
      <c r="BS36" s="3">
        <v>45993</v>
      </c>
      <c r="BT36" s="4">
        <v>0.40625</v>
      </c>
      <c r="BU36" t="s">
        <v>251</v>
      </c>
      <c r="BV36" t="s">
        <v>84</v>
      </c>
      <c r="BY36">
        <v>9600</v>
      </c>
      <c r="CC36" t="s">
        <v>101</v>
      </c>
      <c r="CD36">
        <v>4068</v>
      </c>
      <c r="CE36" t="s">
        <v>86</v>
      </c>
      <c r="CF36" s="3">
        <v>45994</v>
      </c>
      <c r="CI36">
        <v>1</v>
      </c>
      <c r="CJ36">
        <v>1</v>
      </c>
      <c r="CK36">
        <v>21</v>
      </c>
      <c r="CL36" t="s">
        <v>87</v>
      </c>
    </row>
    <row r="37" spans="1:90" x14ac:dyDescent="0.3">
      <c r="A37" t="s">
        <v>72</v>
      </c>
      <c r="B37" t="s">
        <v>73</v>
      </c>
      <c r="C37" t="s">
        <v>74</v>
      </c>
      <c r="E37" t="str">
        <f>"080069578553"</f>
        <v>080069578553</v>
      </c>
      <c r="F37" s="3">
        <v>45992</v>
      </c>
      <c r="G37">
        <v>202609</v>
      </c>
      <c r="H37" t="s">
        <v>75</v>
      </c>
      <c r="I37" t="s">
        <v>76</v>
      </c>
      <c r="J37" t="s">
        <v>77</v>
      </c>
      <c r="K37" t="s">
        <v>78</v>
      </c>
      <c r="L37" t="s">
        <v>252</v>
      </c>
      <c r="M37" t="s">
        <v>253</v>
      </c>
      <c r="N37" t="s">
        <v>254</v>
      </c>
      <c r="O37" t="s">
        <v>89</v>
      </c>
      <c r="P37" t="str">
        <f>"4170071168                    "</f>
        <v xml:space="preserve">4170071168                    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31.28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1</v>
      </c>
      <c r="BI37">
        <v>2</v>
      </c>
      <c r="BJ37">
        <v>1.4</v>
      </c>
      <c r="BK37">
        <v>2</v>
      </c>
      <c r="BL37">
        <v>102.36</v>
      </c>
      <c r="BM37">
        <v>15.35</v>
      </c>
      <c r="BN37">
        <v>117.71</v>
      </c>
      <c r="BO37">
        <v>117.71</v>
      </c>
      <c r="BQ37" t="s">
        <v>255</v>
      </c>
      <c r="BR37" t="s">
        <v>82</v>
      </c>
      <c r="BS37" s="3">
        <v>45993</v>
      </c>
      <c r="BT37" s="4">
        <v>0.41805555555555557</v>
      </c>
      <c r="BU37" t="s">
        <v>256</v>
      </c>
      <c r="BV37" t="s">
        <v>84</v>
      </c>
      <c r="BY37">
        <v>7000</v>
      </c>
      <c r="CA37" t="s">
        <v>257</v>
      </c>
      <c r="CC37" t="s">
        <v>253</v>
      </c>
      <c r="CD37">
        <v>2210</v>
      </c>
      <c r="CE37" t="s">
        <v>86</v>
      </c>
      <c r="CF37" s="3">
        <v>45994</v>
      </c>
      <c r="CI37">
        <v>1</v>
      </c>
      <c r="CJ37">
        <v>1</v>
      </c>
      <c r="CK37">
        <v>24</v>
      </c>
      <c r="CL37" t="s">
        <v>87</v>
      </c>
    </row>
    <row r="38" spans="1:90" x14ac:dyDescent="0.3">
      <c r="A38" t="s">
        <v>72</v>
      </c>
      <c r="B38" t="s">
        <v>73</v>
      </c>
      <c r="C38" t="s">
        <v>74</v>
      </c>
      <c r="E38" t="str">
        <f>"080069578549"</f>
        <v>080069578549</v>
      </c>
      <c r="F38" s="3">
        <v>45992</v>
      </c>
      <c r="G38">
        <v>202609</v>
      </c>
      <c r="H38" t="s">
        <v>75</v>
      </c>
      <c r="I38" t="s">
        <v>76</v>
      </c>
      <c r="J38" t="s">
        <v>77</v>
      </c>
      <c r="K38" t="s">
        <v>78</v>
      </c>
      <c r="L38" t="s">
        <v>208</v>
      </c>
      <c r="M38" t="s">
        <v>209</v>
      </c>
      <c r="N38" t="s">
        <v>258</v>
      </c>
      <c r="O38" t="s">
        <v>80</v>
      </c>
      <c r="P38" t="str">
        <f>"4170071206                    "</f>
        <v xml:space="preserve">4170071206                    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43.01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2</v>
      </c>
      <c r="BI38">
        <v>8</v>
      </c>
      <c r="BJ38">
        <v>10</v>
      </c>
      <c r="BK38">
        <v>10</v>
      </c>
      <c r="BL38">
        <v>146.85</v>
      </c>
      <c r="BM38">
        <v>22.03</v>
      </c>
      <c r="BN38">
        <v>168.88</v>
      </c>
      <c r="BO38">
        <v>168.88</v>
      </c>
      <c r="BQ38" t="s">
        <v>259</v>
      </c>
      <c r="BR38" t="s">
        <v>82</v>
      </c>
      <c r="BS38" s="3">
        <v>45993</v>
      </c>
      <c r="BT38" s="4">
        <v>0.32569444444444445</v>
      </c>
      <c r="BU38" t="s">
        <v>260</v>
      </c>
      <c r="BV38" t="s">
        <v>84</v>
      </c>
      <c r="BY38">
        <v>49761</v>
      </c>
      <c r="CA38">
        <v>7712195338085</v>
      </c>
      <c r="CC38" t="s">
        <v>209</v>
      </c>
      <c r="CD38" s="5" t="s">
        <v>213</v>
      </c>
      <c r="CE38" t="s">
        <v>93</v>
      </c>
      <c r="CF38" s="3">
        <v>45993</v>
      </c>
      <c r="CI38">
        <v>1</v>
      </c>
      <c r="CJ38">
        <v>1</v>
      </c>
      <c r="CK38">
        <v>41</v>
      </c>
      <c r="CL38" t="s">
        <v>87</v>
      </c>
    </row>
    <row r="39" spans="1:90" x14ac:dyDescent="0.3">
      <c r="A39" t="s">
        <v>72</v>
      </c>
      <c r="B39" t="s">
        <v>73</v>
      </c>
      <c r="C39" t="s">
        <v>74</v>
      </c>
      <c r="E39" t="str">
        <f>"080069578605"</f>
        <v>080069578605</v>
      </c>
      <c r="F39" s="3">
        <v>45992</v>
      </c>
      <c r="G39">
        <v>202609</v>
      </c>
      <c r="H39" t="s">
        <v>75</v>
      </c>
      <c r="I39" t="s">
        <v>76</v>
      </c>
      <c r="J39" t="s">
        <v>77</v>
      </c>
      <c r="K39" t="s">
        <v>78</v>
      </c>
      <c r="L39" t="s">
        <v>156</v>
      </c>
      <c r="M39" t="s">
        <v>157</v>
      </c>
      <c r="N39" t="s">
        <v>261</v>
      </c>
      <c r="O39" t="s">
        <v>89</v>
      </c>
      <c r="P39" t="str">
        <f>"4170071259                    "</f>
        <v xml:space="preserve">4170071259                    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22.24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1</v>
      </c>
      <c r="BI39">
        <v>1</v>
      </c>
      <c r="BJ39">
        <v>1.1000000000000001</v>
      </c>
      <c r="BK39">
        <v>1.5</v>
      </c>
      <c r="BL39">
        <v>72.78</v>
      </c>
      <c r="BM39">
        <v>10.92</v>
      </c>
      <c r="BN39">
        <v>83.7</v>
      </c>
      <c r="BO39">
        <v>83.7</v>
      </c>
      <c r="BQ39" t="s">
        <v>262</v>
      </c>
      <c r="BR39" t="s">
        <v>82</v>
      </c>
      <c r="BS39" s="3">
        <v>45993</v>
      </c>
      <c r="BT39" s="4">
        <v>0.42083333333333334</v>
      </c>
      <c r="BU39" t="s">
        <v>263</v>
      </c>
      <c r="BV39" t="s">
        <v>84</v>
      </c>
      <c r="BY39">
        <v>5510</v>
      </c>
      <c r="BZ39" t="s">
        <v>125</v>
      </c>
      <c r="CA39" t="s">
        <v>264</v>
      </c>
      <c r="CC39" t="s">
        <v>157</v>
      </c>
      <c r="CD39">
        <v>7441</v>
      </c>
      <c r="CE39" t="s">
        <v>147</v>
      </c>
      <c r="CF39" s="3">
        <v>45994</v>
      </c>
      <c r="CI39">
        <v>1</v>
      </c>
      <c r="CJ39">
        <v>1</v>
      </c>
      <c r="CK39">
        <v>21</v>
      </c>
      <c r="CL39" t="s">
        <v>87</v>
      </c>
    </row>
    <row r="40" spans="1:90" x14ac:dyDescent="0.3">
      <c r="A40" t="s">
        <v>72</v>
      </c>
      <c r="B40" t="s">
        <v>73</v>
      </c>
      <c r="C40" t="s">
        <v>74</v>
      </c>
      <c r="E40" t="str">
        <f>"080069578669"</f>
        <v>080069578669</v>
      </c>
      <c r="F40" s="3">
        <v>45992</v>
      </c>
      <c r="G40">
        <v>202609</v>
      </c>
      <c r="H40" t="s">
        <v>75</v>
      </c>
      <c r="I40" t="s">
        <v>76</v>
      </c>
      <c r="J40" t="s">
        <v>77</v>
      </c>
      <c r="K40" t="s">
        <v>78</v>
      </c>
      <c r="L40" t="s">
        <v>265</v>
      </c>
      <c r="M40" t="s">
        <v>266</v>
      </c>
      <c r="N40" t="s">
        <v>267</v>
      </c>
      <c r="O40" t="s">
        <v>89</v>
      </c>
      <c r="P40" t="str">
        <f>"4170071205                    "</f>
        <v xml:space="preserve">4170071205                    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17.37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1</v>
      </c>
      <c r="BI40">
        <v>5</v>
      </c>
      <c r="BJ40">
        <v>4.0999999999999996</v>
      </c>
      <c r="BK40">
        <v>5</v>
      </c>
      <c r="BL40">
        <v>56.85</v>
      </c>
      <c r="BM40">
        <v>8.5299999999999994</v>
      </c>
      <c r="BN40">
        <v>65.38</v>
      </c>
      <c r="BO40">
        <v>65.38</v>
      </c>
      <c r="BQ40" t="s">
        <v>268</v>
      </c>
      <c r="BR40" t="s">
        <v>82</v>
      </c>
      <c r="BS40" s="3">
        <v>45995</v>
      </c>
      <c r="BT40" s="4">
        <v>0.51111111111111107</v>
      </c>
      <c r="BU40" t="s">
        <v>236</v>
      </c>
      <c r="BV40" t="s">
        <v>87</v>
      </c>
      <c r="BW40" t="s">
        <v>269</v>
      </c>
      <c r="BX40" t="s">
        <v>270</v>
      </c>
      <c r="BY40">
        <v>20358</v>
      </c>
      <c r="BZ40" t="s">
        <v>271</v>
      </c>
      <c r="CA40" t="s">
        <v>237</v>
      </c>
      <c r="CC40" t="s">
        <v>266</v>
      </c>
      <c r="CD40">
        <v>1459</v>
      </c>
      <c r="CE40" t="s">
        <v>147</v>
      </c>
      <c r="CF40" s="3">
        <v>45997</v>
      </c>
      <c r="CI40">
        <v>1</v>
      </c>
      <c r="CJ40">
        <v>3</v>
      </c>
      <c r="CK40">
        <v>22</v>
      </c>
      <c r="CL40" t="s">
        <v>87</v>
      </c>
    </row>
    <row r="41" spans="1:90" x14ac:dyDescent="0.3">
      <c r="A41" t="s">
        <v>72</v>
      </c>
      <c r="B41" t="s">
        <v>73</v>
      </c>
      <c r="C41" t="s">
        <v>74</v>
      </c>
      <c r="E41" t="str">
        <f>"080069578743"</f>
        <v>080069578743</v>
      </c>
      <c r="F41" s="3">
        <v>45992</v>
      </c>
      <c r="G41">
        <v>202609</v>
      </c>
      <c r="H41" t="s">
        <v>75</v>
      </c>
      <c r="I41" t="s">
        <v>76</v>
      </c>
      <c r="J41" t="s">
        <v>77</v>
      </c>
      <c r="K41" t="s">
        <v>78</v>
      </c>
      <c r="L41" t="s">
        <v>272</v>
      </c>
      <c r="M41" t="s">
        <v>273</v>
      </c>
      <c r="N41" t="s">
        <v>274</v>
      </c>
      <c r="O41" t="s">
        <v>89</v>
      </c>
      <c r="P41" t="str">
        <f>"4170071257                    "</f>
        <v xml:space="preserve">4170071257                    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22.24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1</v>
      </c>
      <c r="BI41">
        <v>1</v>
      </c>
      <c r="BJ41">
        <v>0.2</v>
      </c>
      <c r="BK41">
        <v>1</v>
      </c>
      <c r="BL41">
        <v>72.78</v>
      </c>
      <c r="BM41">
        <v>10.92</v>
      </c>
      <c r="BN41">
        <v>83.7</v>
      </c>
      <c r="BO41">
        <v>83.7</v>
      </c>
      <c r="BQ41" t="s">
        <v>275</v>
      </c>
      <c r="BR41" t="s">
        <v>82</v>
      </c>
      <c r="BS41" s="3">
        <v>45993</v>
      </c>
      <c r="BT41" s="4">
        <v>0.42986111111111114</v>
      </c>
      <c r="BU41" t="s">
        <v>276</v>
      </c>
      <c r="BV41" t="s">
        <v>84</v>
      </c>
      <c r="BY41">
        <v>1200</v>
      </c>
      <c r="BZ41" t="s">
        <v>125</v>
      </c>
      <c r="CA41" t="s">
        <v>277</v>
      </c>
      <c r="CC41" t="s">
        <v>273</v>
      </c>
      <c r="CD41">
        <v>6220</v>
      </c>
      <c r="CE41" t="s">
        <v>127</v>
      </c>
      <c r="CF41" s="3">
        <v>45993</v>
      </c>
      <c r="CI41">
        <v>1</v>
      </c>
      <c r="CJ41">
        <v>1</v>
      </c>
      <c r="CK41">
        <v>21</v>
      </c>
      <c r="CL41" t="s">
        <v>87</v>
      </c>
    </row>
    <row r="42" spans="1:90" x14ac:dyDescent="0.3">
      <c r="A42" t="s">
        <v>72</v>
      </c>
      <c r="B42" t="s">
        <v>73</v>
      </c>
      <c r="C42" t="s">
        <v>74</v>
      </c>
      <c r="E42" t="str">
        <f>"080069578869"</f>
        <v>080069578869</v>
      </c>
      <c r="F42" s="3">
        <v>45992</v>
      </c>
      <c r="G42">
        <v>202609</v>
      </c>
      <c r="H42" t="s">
        <v>75</v>
      </c>
      <c r="I42" t="s">
        <v>76</v>
      </c>
      <c r="J42" t="s">
        <v>77</v>
      </c>
      <c r="K42" t="s">
        <v>78</v>
      </c>
      <c r="L42" t="s">
        <v>218</v>
      </c>
      <c r="M42" t="s">
        <v>219</v>
      </c>
      <c r="N42" t="s">
        <v>220</v>
      </c>
      <c r="O42" t="s">
        <v>89</v>
      </c>
      <c r="P42" t="str">
        <f>"4170071203                    "</f>
        <v xml:space="preserve">4170071203                    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43.09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1</v>
      </c>
      <c r="BI42">
        <v>1</v>
      </c>
      <c r="BJ42">
        <v>0.2</v>
      </c>
      <c r="BK42">
        <v>1</v>
      </c>
      <c r="BL42">
        <v>141.02000000000001</v>
      </c>
      <c r="BM42">
        <v>21.15</v>
      </c>
      <c r="BN42">
        <v>162.16999999999999</v>
      </c>
      <c r="BO42">
        <v>162.16999999999999</v>
      </c>
      <c r="BQ42" t="s">
        <v>221</v>
      </c>
      <c r="BR42" t="s">
        <v>82</v>
      </c>
      <c r="BS42" s="3">
        <v>45993</v>
      </c>
      <c r="BT42" s="4">
        <v>0.2986111111111111</v>
      </c>
      <c r="BU42" t="s">
        <v>222</v>
      </c>
      <c r="BV42" t="s">
        <v>84</v>
      </c>
      <c r="BY42">
        <v>1200</v>
      </c>
      <c r="CC42" t="s">
        <v>219</v>
      </c>
      <c r="CD42">
        <v>2740</v>
      </c>
      <c r="CE42" t="s">
        <v>134</v>
      </c>
      <c r="CF42" s="3">
        <v>45994</v>
      </c>
      <c r="CI42">
        <v>1</v>
      </c>
      <c r="CJ42">
        <v>1</v>
      </c>
      <c r="CK42">
        <v>23</v>
      </c>
      <c r="CL42" t="s">
        <v>87</v>
      </c>
    </row>
    <row r="43" spans="1:90" x14ac:dyDescent="0.3">
      <c r="A43" t="s">
        <v>72</v>
      </c>
      <c r="B43" t="s">
        <v>73</v>
      </c>
      <c r="C43" t="s">
        <v>74</v>
      </c>
      <c r="E43" t="str">
        <f>"080069578946"</f>
        <v>080069578946</v>
      </c>
      <c r="F43" s="3">
        <v>45992</v>
      </c>
      <c r="G43">
        <v>202609</v>
      </c>
      <c r="H43" t="s">
        <v>75</v>
      </c>
      <c r="I43" t="s">
        <v>76</v>
      </c>
      <c r="J43" t="s">
        <v>77</v>
      </c>
      <c r="K43" t="s">
        <v>78</v>
      </c>
      <c r="L43" t="s">
        <v>278</v>
      </c>
      <c r="M43" t="s">
        <v>279</v>
      </c>
      <c r="N43" t="s">
        <v>280</v>
      </c>
      <c r="O43" t="s">
        <v>89</v>
      </c>
      <c r="P43" t="str">
        <f>"4170071201                    "</f>
        <v xml:space="preserve">4170071201                    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43.09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1</v>
      </c>
      <c r="BI43">
        <v>1</v>
      </c>
      <c r="BJ43">
        <v>0.2</v>
      </c>
      <c r="BK43">
        <v>1</v>
      </c>
      <c r="BL43">
        <v>141.02000000000001</v>
      </c>
      <c r="BM43">
        <v>21.15</v>
      </c>
      <c r="BN43">
        <v>162.16999999999999</v>
      </c>
      <c r="BO43">
        <v>162.16999999999999</v>
      </c>
      <c r="BQ43" t="s">
        <v>281</v>
      </c>
      <c r="BR43" t="s">
        <v>82</v>
      </c>
      <c r="BS43" s="3">
        <v>45994</v>
      </c>
      <c r="BT43" s="4">
        <v>0.52638888888888891</v>
      </c>
      <c r="BU43" t="s">
        <v>282</v>
      </c>
      <c r="BV43" t="s">
        <v>84</v>
      </c>
      <c r="BY43">
        <v>1200</v>
      </c>
      <c r="CC43" t="s">
        <v>279</v>
      </c>
      <c r="CD43">
        <v>5820</v>
      </c>
      <c r="CE43" t="s">
        <v>134</v>
      </c>
      <c r="CF43" s="3">
        <v>45995</v>
      </c>
      <c r="CI43">
        <v>2</v>
      </c>
      <c r="CJ43">
        <v>2</v>
      </c>
      <c r="CK43">
        <v>23</v>
      </c>
      <c r="CL43" t="s">
        <v>87</v>
      </c>
    </row>
    <row r="44" spans="1:90" x14ac:dyDescent="0.3">
      <c r="A44" t="s">
        <v>72</v>
      </c>
      <c r="B44" t="s">
        <v>73</v>
      </c>
      <c r="C44" t="s">
        <v>74</v>
      </c>
      <c r="E44" t="str">
        <f>"080069579030"</f>
        <v>080069579030</v>
      </c>
      <c r="F44" s="3">
        <v>45992</v>
      </c>
      <c r="G44">
        <v>202609</v>
      </c>
      <c r="H44" t="s">
        <v>75</v>
      </c>
      <c r="I44" t="s">
        <v>76</v>
      </c>
      <c r="J44" t="s">
        <v>77</v>
      </c>
      <c r="K44" t="s">
        <v>78</v>
      </c>
      <c r="L44" t="s">
        <v>283</v>
      </c>
      <c r="M44" t="s">
        <v>284</v>
      </c>
      <c r="N44" t="s">
        <v>285</v>
      </c>
      <c r="O44" t="s">
        <v>89</v>
      </c>
      <c r="P44" t="str">
        <f>"4170071300                    "</f>
        <v xml:space="preserve">4170071300                    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43.09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1</v>
      </c>
      <c r="BI44">
        <v>1</v>
      </c>
      <c r="BJ44">
        <v>0.2</v>
      </c>
      <c r="BK44">
        <v>1</v>
      </c>
      <c r="BL44">
        <v>141.02000000000001</v>
      </c>
      <c r="BM44">
        <v>21.15</v>
      </c>
      <c r="BN44">
        <v>162.16999999999999</v>
      </c>
      <c r="BO44">
        <v>162.16999999999999</v>
      </c>
      <c r="BQ44" t="s">
        <v>286</v>
      </c>
      <c r="BR44" t="s">
        <v>82</v>
      </c>
      <c r="BS44" s="3">
        <v>45994</v>
      </c>
      <c r="BT44" s="4">
        <v>0.36458333333333331</v>
      </c>
      <c r="BU44" t="s">
        <v>287</v>
      </c>
      <c r="BV44" t="s">
        <v>87</v>
      </c>
      <c r="BW44" t="s">
        <v>186</v>
      </c>
      <c r="BX44" t="s">
        <v>288</v>
      </c>
      <c r="BY44">
        <v>1200</v>
      </c>
      <c r="CA44">
        <v>6805135560080</v>
      </c>
      <c r="CC44" t="s">
        <v>284</v>
      </c>
      <c r="CD44">
        <v>1947</v>
      </c>
      <c r="CE44" t="s">
        <v>134</v>
      </c>
      <c r="CF44" s="3">
        <v>45995</v>
      </c>
      <c r="CI44">
        <v>1</v>
      </c>
      <c r="CJ44">
        <v>2</v>
      </c>
      <c r="CK44">
        <v>23</v>
      </c>
      <c r="CL44" t="s">
        <v>87</v>
      </c>
    </row>
    <row r="45" spans="1:90" x14ac:dyDescent="0.3">
      <c r="A45" t="s">
        <v>72</v>
      </c>
      <c r="B45" t="s">
        <v>73</v>
      </c>
      <c r="C45" t="s">
        <v>74</v>
      </c>
      <c r="E45" t="str">
        <f>"080069579086"</f>
        <v>080069579086</v>
      </c>
      <c r="F45" s="3">
        <v>45992</v>
      </c>
      <c r="G45">
        <v>202609</v>
      </c>
      <c r="H45" t="s">
        <v>75</v>
      </c>
      <c r="I45" t="s">
        <v>76</v>
      </c>
      <c r="J45" t="s">
        <v>77</v>
      </c>
      <c r="K45" t="s">
        <v>78</v>
      </c>
      <c r="L45" t="s">
        <v>289</v>
      </c>
      <c r="M45" t="s">
        <v>290</v>
      </c>
      <c r="N45" t="s">
        <v>291</v>
      </c>
      <c r="O45" t="s">
        <v>89</v>
      </c>
      <c r="P45" t="str">
        <f>"4170071220                    "</f>
        <v xml:space="preserve">4170071220                    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159.83000000000001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1</v>
      </c>
      <c r="BI45">
        <v>8</v>
      </c>
      <c r="BJ45">
        <v>3.4</v>
      </c>
      <c r="BK45">
        <v>8</v>
      </c>
      <c r="BL45">
        <v>523.08000000000004</v>
      </c>
      <c r="BM45">
        <v>78.459999999999994</v>
      </c>
      <c r="BN45">
        <v>601.54</v>
      </c>
      <c r="BO45">
        <v>601.54</v>
      </c>
      <c r="BQ45" t="s">
        <v>292</v>
      </c>
      <c r="BR45" t="s">
        <v>82</v>
      </c>
      <c r="BS45" s="3">
        <v>45993</v>
      </c>
      <c r="BT45" s="4">
        <v>0.66666666666666663</v>
      </c>
      <c r="BU45" t="s">
        <v>293</v>
      </c>
      <c r="BV45" t="s">
        <v>87</v>
      </c>
      <c r="BW45" t="s">
        <v>246</v>
      </c>
      <c r="BX45" t="s">
        <v>294</v>
      </c>
      <c r="BY45">
        <v>16965</v>
      </c>
      <c r="CC45" t="s">
        <v>290</v>
      </c>
      <c r="CD45">
        <v>4170</v>
      </c>
      <c r="CE45" t="s">
        <v>86</v>
      </c>
      <c r="CF45" s="3">
        <v>45994</v>
      </c>
      <c r="CI45">
        <v>1</v>
      </c>
      <c r="CJ45">
        <v>1</v>
      </c>
      <c r="CK45">
        <v>23</v>
      </c>
      <c r="CL45" t="s">
        <v>87</v>
      </c>
    </row>
    <row r="46" spans="1:90" x14ac:dyDescent="0.3">
      <c r="A46" t="s">
        <v>72</v>
      </c>
      <c r="B46" t="s">
        <v>73</v>
      </c>
      <c r="C46" t="s">
        <v>74</v>
      </c>
      <c r="E46" t="str">
        <f>"080069579124"</f>
        <v>080069579124</v>
      </c>
      <c r="F46" s="3">
        <v>45992</v>
      </c>
      <c r="G46">
        <v>202609</v>
      </c>
      <c r="H46" t="s">
        <v>75</v>
      </c>
      <c r="I46" t="s">
        <v>76</v>
      </c>
      <c r="J46" t="s">
        <v>77</v>
      </c>
      <c r="K46" t="s">
        <v>78</v>
      </c>
      <c r="L46" t="s">
        <v>295</v>
      </c>
      <c r="M46" t="s">
        <v>296</v>
      </c>
      <c r="N46" t="s">
        <v>297</v>
      </c>
      <c r="O46" t="s">
        <v>89</v>
      </c>
      <c r="P46" t="str">
        <f>"4170071301                    "</f>
        <v xml:space="preserve">4170071301                    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17.37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1</v>
      </c>
      <c r="BI46">
        <v>1</v>
      </c>
      <c r="BJ46">
        <v>0.2</v>
      </c>
      <c r="BK46">
        <v>1</v>
      </c>
      <c r="BL46">
        <v>56.85</v>
      </c>
      <c r="BM46">
        <v>8.5299999999999994</v>
      </c>
      <c r="BN46">
        <v>65.38</v>
      </c>
      <c r="BO46">
        <v>65.38</v>
      </c>
      <c r="BQ46" t="s">
        <v>298</v>
      </c>
      <c r="BR46" t="s">
        <v>82</v>
      </c>
      <c r="BS46" s="3">
        <v>45995</v>
      </c>
      <c r="BT46" s="4">
        <v>0.41736111111111113</v>
      </c>
      <c r="BU46" t="s">
        <v>299</v>
      </c>
      <c r="BV46" t="s">
        <v>87</v>
      </c>
      <c r="BW46" t="s">
        <v>174</v>
      </c>
      <c r="BX46" t="s">
        <v>300</v>
      </c>
      <c r="BY46">
        <v>1200</v>
      </c>
      <c r="CA46" t="s">
        <v>301</v>
      </c>
      <c r="CC46" t="s">
        <v>296</v>
      </c>
      <c r="CD46">
        <v>1501</v>
      </c>
      <c r="CE46" t="s">
        <v>134</v>
      </c>
      <c r="CF46" s="3">
        <v>45996</v>
      </c>
      <c r="CI46">
        <v>1</v>
      </c>
      <c r="CJ46">
        <v>3</v>
      </c>
      <c r="CK46">
        <v>22</v>
      </c>
      <c r="CL46" t="s">
        <v>87</v>
      </c>
    </row>
    <row r="47" spans="1:90" x14ac:dyDescent="0.3">
      <c r="A47" t="s">
        <v>72</v>
      </c>
      <c r="B47" t="s">
        <v>73</v>
      </c>
      <c r="C47" t="s">
        <v>74</v>
      </c>
      <c r="E47" t="str">
        <f>"080069579228"</f>
        <v>080069579228</v>
      </c>
      <c r="F47" s="3">
        <v>45992</v>
      </c>
      <c r="G47">
        <v>202609</v>
      </c>
      <c r="H47" t="s">
        <v>75</v>
      </c>
      <c r="I47" t="s">
        <v>76</v>
      </c>
      <c r="J47" t="s">
        <v>77</v>
      </c>
      <c r="K47" t="s">
        <v>78</v>
      </c>
      <c r="L47" t="s">
        <v>302</v>
      </c>
      <c r="M47" t="s">
        <v>303</v>
      </c>
      <c r="N47" t="s">
        <v>304</v>
      </c>
      <c r="O47" t="s">
        <v>80</v>
      </c>
      <c r="P47" t="str">
        <f>"4170071076                    "</f>
        <v xml:space="preserve">4170071076                    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75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1</v>
      </c>
      <c r="BI47">
        <v>26</v>
      </c>
      <c r="BJ47">
        <v>32.6</v>
      </c>
      <c r="BK47">
        <v>33</v>
      </c>
      <c r="BL47">
        <v>251.56</v>
      </c>
      <c r="BM47">
        <v>37.729999999999997</v>
      </c>
      <c r="BN47">
        <v>289.29000000000002</v>
      </c>
      <c r="BO47">
        <v>289.29000000000002</v>
      </c>
      <c r="BQ47" t="s">
        <v>305</v>
      </c>
      <c r="BR47" t="s">
        <v>82</v>
      </c>
      <c r="BS47" s="3">
        <v>45993</v>
      </c>
      <c r="BT47" s="4">
        <v>0.53055555555555556</v>
      </c>
      <c r="BU47" t="s">
        <v>306</v>
      </c>
      <c r="BV47" t="s">
        <v>84</v>
      </c>
      <c r="BY47">
        <v>162840</v>
      </c>
      <c r="CA47">
        <v>8303236124087</v>
      </c>
      <c r="CC47" t="s">
        <v>303</v>
      </c>
      <c r="CD47" s="5" t="s">
        <v>307</v>
      </c>
      <c r="CE47" t="s">
        <v>86</v>
      </c>
      <c r="CF47" s="3">
        <v>45993</v>
      </c>
      <c r="CI47">
        <v>1</v>
      </c>
      <c r="CJ47">
        <v>1</v>
      </c>
      <c r="CK47">
        <v>41</v>
      </c>
      <c r="CL47" t="s">
        <v>87</v>
      </c>
    </row>
    <row r="48" spans="1:90" x14ac:dyDescent="0.3">
      <c r="A48" t="s">
        <v>72</v>
      </c>
      <c r="B48" t="s">
        <v>73</v>
      </c>
      <c r="C48" t="s">
        <v>74</v>
      </c>
      <c r="E48" t="str">
        <f>"080069579265"</f>
        <v>080069579265</v>
      </c>
      <c r="F48" s="3">
        <v>45992</v>
      </c>
      <c r="G48">
        <v>202609</v>
      </c>
      <c r="H48" t="s">
        <v>75</v>
      </c>
      <c r="I48" t="s">
        <v>76</v>
      </c>
      <c r="J48" t="s">
        <v>77</v>
      </c>
      <c r="K48" t="s">
        <v>78</v>
      </c>
      <c r="L48" t="s">
        <v>156</v>
      </c>
      <c r="M48" t="s">
        <v>157</v>
      </c>
      <c r="N48" t="s">
        <v>261</v>
      </c>
      <c r="O48" t="s">
        <v>89</v>
      </c>
      <c r="P48" t="str">
        <f>"4170071302                    "</f>
        <v xml:space="preserve">4170071302                    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22.24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1</v>
      </c>
      <c r="BI48">
        <v>1</v>
      </c>
      <c r="BJ48">
        <v>0.2</v>
      </c>
      <c r="BK48">
        <v>1</v>
      </c>
      <c r="BL48">
        <v>72.78</v>
      </c>
      <c r="BM48">
        <v>10.92</v>
      </c>
      <c r="BN48">
        <v>83.7</v>
      </c>
      <c r="BO48">
        <v>83.7</v>
      </c>
      <c r="BQ48" t="s">
        <v>262</v>
      </c>
      <c r="BR48" t="s">
        <v>82</v>
      </c>
      <c r="BS48" s="3">
        <v>45993</v>
      </c>
      <c r="BT48" s="4">
        <v>0.42083333333333334</v>
      </c>
      <c r="BU48" t="s">
        <v>263</v>
      </c>
      <c r="BV48" t="s">
        <v>84</v>
      </c>
      <c r="BY48">
        <v>1200</v>
      </c>
      <c r="BZ48" t="s">
        <v>125</v>
      </c>
      <c r="CA48" t="s">
        <v>264</v>
      </c>
      <c r="CC48" t="s">
        <v>157</v>
      </c>
      <c r="CD48">
        <v>7441</v>
      </c>
      <c r="CE48" t="s">
        <v>127</v>
      </c>
      <c r="CF48" s="3">
        <v>45994</v>
      </c>
      <c r="CI48">
        <v>1</v>
      </c>
      <c r="CJ48">
        <v>1</v>
      </c>
      <c r="CK48">
        <v>21</v>
      </c>
      <c r="CL48" t="s">
        <v>87</v>
      </c>
    </row>
    <row r="49" spans="1:90" x14ac:dyDescent="0.3">
      <c r="A49" t="s">
        <v>72</v>
      </c>
      <c r="B49" t="s">
        <v>73</v>
      </c>
      <c r="C49" t="s">
        <v>74</v>
      </c>
      <c r="E49" t="str">
        <f>"080069579295"</f>
        <v>080069579295</v>
      </c>
      <c r="F49" s="3">
        <v>45992</v>
      </c>
      <c r="G49">
        <v>202609</v>
      </c>
      <c r="H49" t="s">
        <v>75</v>
      </c>
      <c r="I49" t="s">
        <v>76</v>
      </c>
      <c r="J49" t="s">
        <v>77</v>
      </c>
      <c r="K49" t="s">
        <v>78</v>
      </c>
      <c r="L49" t="s">
        <v>189</v>
      </c>
      <c r="M49" t="s">
        <v>190</v>
      </c>
      <c r="N49" t="s">
        <v>308</v>
      </c>
      <c r="O49" t="s">
        <v>89</v>
      </c>
      <c r="P49" t="str">
        <f>"4170071239                    "</f>
        <v xml:space="preserve">4170071239                    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44.47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17.41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1</v>
      </c>
      <c r="BI49">
        <v>3.6</v>
      </c>
      <c r="BJ49">
        <v>3.3</v>
      </c>
      <c r="BK49">
        <v>4</v>
      </c>
      <c r="BL49">
        <v>162.94</v>
      </c>
      <c r="BM49">
        <v>24.44</v>
      </c>
      <c r="BN49">
        <v>187.38</v>
      </c>
      <c r="BO49">
        <v>187.38</v>
      </c>
      <c r="BQ49" t="s">
        <v>309</v>
      </c>
      <c r="BR49" t="s">
        <v>82</v>
      </c>
      <c r="BS49" s="3">
        <v>45994</v>
      </c>
      <c r="BT49" s="4">
        <v>0.43055555555555558</v>
      </c>
      <c r="BU49" t="s">
        <v>310</v>
      </c>
      <c r="BV49" t="s">
        <v>87</v>
      </c>
      <c r="BY49">
        <v>16386.3</v>
      </c>
      <c r="BZ49" t="s">
        <v>30</v>
      </c>
      <c r="CA49" t="s">
        <v>311</v>
      </c>
      <c r="CC49" t="s">
        <v>190</v>
      </c>
      <c r="CD49">
        <v>3699</v>
      </c>
      <c r="CE49" t="s">
        <v>93</v>
      </c>
      <c r="CF49" s="3">
        <v>45995</v>
      </c>
      <c r="CI49">
        <v>1</v>
      </c>
      <c r="CJ49">
        <v>2</v>
      </c>
      <c r="CK49">
        <v>21</v>
      </c>
      <c r="CL49" t="s">
        <v>87</v>
      </c>
    </row>
    <row r="50" spans="1:90" x14ac:dyDescent="0.3">
      <c r="A50" t="s">
        <v>72</v>
      </c>
      <c r="B50" t="s">
        <v>73</v>
      </c>
      <c r="C50" t="s">
        <v>74</v>
      </c>
      <c r="E50" t="str">
        <f>"080069579330"</f>
        <v>080069579330</v>
      </c>
      <c r="F50" s="3">
        <v>45992</v>
      </c>
      <c r="G50">
        <v>202609</v>
      </c>
      <c r="H50" t="s">
        <v>75</v>
      </c>
      <c r="I50" t="s">
        <v>76</v>
      </c>
      <c r="J50" t="s">
        <v>77</v>
      </c>
      <c r="K50" t="s">
        <v>78</v>
      </c>
      <c r="L50" t="s">
        <v>75</v>
      </c>
      <c r="M50" t="s">
        <v>76</v>
      </c>
      <c r="N50" t="s">
        <v>88</v>
      </c>
      <c r="O50" t="s">
        <v>89</v>
      </c>
      <c r="P50" t="str">
        <f>"4170071226                    "</f>
        <v xml:space="preserve">4170071226                    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17.37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1</v>
      </c>
      <c r="BI50">
        <v>1</v>
      </c>
      <c r="BJ50">
        <v>0.2</v>
      </c>
      <c r="BK50">
        <v>1</v>
      </c>
      <c r="BL50">
        <v>56.85</v>
      </c>
      <c r="BM50">
        <v>8.5299999999999994</v>
      </c>
      <c r="BN50">
        <v>65.38</v>
      </c>
      <c r="BO50">
        <v>65.38</v>
      </c>
      <c r="BQ50" t="s">
        <v>90</v>
      </c>
      <c r="BR50" t="s">
        <v>82</v>
      </c>
      <c r="BS50" s="3">
        <v>45994</v>
      </c>
      <c r="BT50" s="4">
        <v>0.29166666666666669</v>
      </c>
      <c r="BU50" t="s">
        <v>91</v>
      </c>
      <c r="BV50" t="s">
        <v>87</v>
      </c>
      <c r="BW50" t="s">
        <v>174</v>
      </c>
      <c r="BX50" t="s">
        <v>198</v>
      </c>
      <c r="BY50">
        <v>1200</v>
      </c>
      <c r="CA50" t="s">
        <v>92</v>
      </c>
      <c r="CC50" t="s">
        <v>76</v>
      </c>
      <c r="CD50">
        <v>1600</v>
      </c>
      <c r="CE50" t="s">
        <v>134</v>
      </c>
      <c r="CF50" s="3">
        <v>45995</v>
      </c>
      <c r="CI50">
        <v>1</v>
      </c>
      <c r="CJ50">
        <v>2</v>
      </c>
      <c r="CK50">
        <v>22</v>
      </c>
      <c r="CL50" t="s">
        <v>87</v>
      </c>
    </row>
    <row r="51" spans="1:90" x14ac:dyDescent="0.3">
      <c r="A51" t="s">
        <v>72</v>
      </c>
      <c r="B51" t="s">
        <v>73</v>
      </c>
      <c r="C51" t="s">
        <v>74</v>
      </c>
      <c r="E51" t="str">
        <f>"080069579369"</f>
        <v>080069579369</v>
      </c>
      <c r="F51" s="3">
        <v>45992</v>
      </c>
      <c r="G51">
        <v>202609</v>
      </c>
      <c r="H51" t="s">
        <v>75</v>
      </c>
      <c r="I51" t="s">
        <v>76</v>
      </c>
      <c r="J51" t="s">
        <v>77</v>
      </c>
      <c r="K51" t="s">
        <v>78</v>
      </c>
      <c r="L51" t="s">
        <v>141</v>
      </c>
      <c r="M51" t="s">
        <v>142</v>
      </c>
      <c r="N51" t="s">
        <v>312</v>
      </c>
      <c r="O51" t="s">
        <v>89</v>
      </c>
      <c r="P51" t="str">
        <f>"4170071224                    "</f>
        <v xml:space="preserve">4170071224                    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77.81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1</v>
      </c>
      <c r="BI51">
        <v>4</v>
      </c>
      <c r="BJ51">
        <v>6.7</v>
      </c>
      <c r="BK51">
        <v>7</v>
      </c>
      <c r="BL51">
        <v>254.65</v>
      </c>
      <c r="BM51">
        <v>38.200000000000003</v>
      </c>
      <c r="BN51">
        <v>292.85000000000002</v>
      </c>
      <c r="BO51">
        <v>292.85000000000002</v>
      </c>
      <c r="BQ51" t="s">
        <v>313</v>
      </c>
      <c r="BR51" t="s">
        <v>82</v>
      </c>
      <c r="BS51" s="3">
        <v>45993</v>
      </c>
      <c r="BT51" s="4">
        <v>0.40208333333333335</v>
      </c>
      <c r="BU51" t="s">
        <v>314</v>
      </c>
      <c r="BV51" t="s">
        <v>84</v>
      </c>
      <c r="BY51">
        <v>33614</v>
      </c>
      <c r="BZ51" t="s">
        <v>125</v>
      </c>
      <c r="CA51" t="s">
        <v>315</v>
      </c>
      <c r="CC51" t="s">
        <v>142</v>
      </c>
      <c r="CD51">
        <v>6001</v>
      </c>
      <c r="CE51" t="s">
        <v>93</v>
      </c>
      <c r="CF51" s="3">
        <v>45993</v>
      </c>
      <c r="CI51">
        <v>1</v>
      </c>
      <c r="CJ51">
        <v>1</v>
      </c>
      <c r="CK51">
        <v>21</v>
      </c>
      <c r="CL51" t="s">
        <v>87</v>
      </c>
    </row>
    <row r="52" spans="1:90" x14ac:dyDescent="0.3">
      <c r="A52" t="s">
        <v>72</v>
      </c>
      <c r="B52" t="s">
        <v>73</v>
      </c>
      <c r="C52" t="s">
        <v>74</v>
      </c>
      <c r="E52" t="str">
        <f>"080069579390"</f>
        <v>080069579390</v>
      </c>
      <c r="F52" s="3">
        <v>45992</v>
      </c>
      <c r="G52">
        <v>202609</v>
      </c>
      <c r="H52" t="s">
        <v>75</v>
      </c>
      <c r="I52" t="s">
        <v>76</v>
      </c>
      <c r="J52" t="s">
        <v>77</v>
      </c>
      <c r="K52" t="s">
        <v>78</v>
      </c>
      <c r="L52" t="s">
        <v>265</v>
      </c>
      <c r="M52" t="s">
        <v>266</v>
      </c>
      <c r="N52" t="s">
        <v>316</v>
      </c>
      <c r="O52" t="s">
        <v>89</v>
      </c>
      <c r="P52" t="str">
        <f>"4170071288                    "</f>
        <v xml:space="preserve">4170071288                    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17.37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1</v>
      </c>
      <c r="BI52">
        <v>1</v>
      </c>
      <c r="BJ52">
        <v>0.2</v>
      </c>
      <c r="BK52">
        <v>1</v>
      </c>
      <c r="BL52">
        <v>56.85</v>
      </c>
      <c r="BM52">
        <v>8.5299999999999994</v>
      </c>
      <c r="BN52">
        <v>65.38</v>
      </c>
      <c r="BO52">
        <v>65.38</v>
      </c>
      <c r="BQ52" t="s">
        <v>317</v>
      </c>
      <c r="BR52" t="s">
        <v>82</v>
      </c>
      <c r="BS52" s="3">
        <v>45994</v>
      </c>
      <c r="BT52" s="4">
        <v>0.34930555555555554</v>
      </c>
      <c r="BU52" t="s">
        <v>318</v>
      </c>
      <c r="BV52" t="s">
        <v>87</v>
      </c>
      <c r="BW52" t="s">
        <v>174</v>
      </c>
      <c r="BX52" t="s">
        <v>198</v>
      </c>
      <c r="BY52">
        <v>1200</v>
      </c>
      <c r="CA52" t="s">
        <v>319</v>
      </c>
      <c r="CC52" t="s">
        <v>266</v>
      </c>
      <c r="CD52">
        <v>1459</v>
      </c>
      <c r="CE52" t="s">
        <v>134</v>
      </c>
      <c r="CF52" s="3">
        <v>45994</v>
      </c>
      <c r="CI52">
        <v>1</v>
      </c>
      <c r="CJ52">
        <v>2</v>
      </c>
      <c r="CK52">
        <v>22</v>
      </c>
      <c r="CL52" t="s">
        <v>87</v>
      </c>
    </row>
    <row r="53" spans="1:90" x14ac:dyDescent="0.3">
      <c r="A53" t="s">
        <v>72</v>
      </c>
      <c r="B53" t="s">
        <v>73</v>
      </c>
      <c r="C53" t="s">
        <v>74</v>
      </c>
      <c r="E53" t="str">
        <f>"080069579432"</f>
        <v>080069579432</v>
      </c>
      <c r="F53" s="3">
        <v>45992</v>
      </c>
      <c r="G53">
        <v>202609</v>
      </c>
      <c r="H53" t="s">
        <v>75</v>
      </c>
      <c r="I53" t="s">
        <v>76</v>
      </c>
      <c r="J53" t="s">
        <v>77</v>
      </c>
      <c r="K53" t="s">
        <v>78</v>
      </c>
      <c r="L53" t="s">
        <v>100</v>
      </c>
      <c r="M53" t="s">
        <v>101</v>
      </c>
      <c r="N53" t="s">
        <v>320</v>
      </c>
      <c r="O53" t="s">
        <v>89</v>
      </c>
      <c r="P53" t="str">
        <f>"4170071142                    "</f>
        <v xml:space="preserve">4170071142                    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22.24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1</v>
      </c>
      <c r="BI53">
        <v>1</v>
      </c>
      <c r="BJ53">
        <v>0.9</v>
      </c>
      <c r="BK53">
        <v>1</v>
      </c>
      <c r="BL53">
        <v>72.78</v>
      </c>
      <c r="BM53">
        <v>10.92</v>
      </c>
      <c r="BN53">
        <v>83.7</v>
      </c>
      <c r="BO53">
        <v>83.7</v>
      </c>
      <c r="BQ53" t="s">
        <v>321</v>
      </c>
      <c r="BR53" t="s">
        <v>82</v>
      </c>
      <c r="BS53" s="3">
        <v>45994</v>
      </c>
      <c r="BT53" s="4">
        <v>0.41041666666666665</v>
      </c>
      <c r="BU53" t="s">
        <v>322</v>
      </c>
      <c r="BV53" t="s">
        <v>87</v>
      </c>
      <c r="BW53" t="s">
        <v>105</v>
      </c>
      <c r="BX53" t="s">
        <v>106</v>
      </c>
      <c r="BY53">
        <v>4275</v>
      </c>
      <c r="CA53" t="s">
        <v>323</v>
      </c>
      <c r="CC53" t="s">
        <v>101</v>
      </c>
      <c r="CD53">
        <v>4001</v>
      </c>
      <c r="CE53" t="s">
        <v>86</v>
      </c>
      <c r="CF53" s="3">
        <v>45994</v>
      </c>
      <c r="CI53">
        <v>1</v>
      </c>
      <c r="CJ53">
        <v>2</v>
      </c>
      <c r="CK53">
        <v>21</v>
      </c>
      <c r="CL53" t="s">
        <v>87</v>
      </c>
    </row>
    <row r="54" spans="1:90" x14ac:dyDescent="0.3">
      <c r="A54" t="s">
        <v>72</v>
      </c>
      <c r="B54" t="s">
        <v>73</v>
      </c>
      <c r="C54" t="s">
        <v>74</v>
      </c>
      <c r="E54" t="str">
        <f>"080069580035"</f>
        <v>080069580035</v>
      </c>
      <c r="F54" s="3">
        <v>45992</v>
      </c>
      <c r="G54">
        <v>202609</v>
      </c>
      <c r="H54" t="s">
        <v>75</v>
      </c>
      <c r="I54" t="s">
        <v>76</v>
      </c>
      <c r="J54" t="s">
        <v>77</v>
      </c>
      <c r="K54" t="s">
        <v>78</v>
      </c>
      <c r="L54" t="s">
        <v>141</v>
      </c>
      <c r="M54" t="s">
        <v>142</v>
      </c>
      <c r="N54" t="s">
        <v>324</v>
      </c>
      <c r="O54" t="s">
        <v>89</v>
      </c>
      <c r="P54" t="str">
        <f>"4170071279                    "</f>
        <v xml:space="preserve">4170071279                    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22.24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1</v>
      </c>
      <c r="BI54">
        <v>1</v>
      </c>
      <c r="BJ54">
        <v>0.2</v>
      </c>
      <c r="BK54">
        <v>1</v>
      </c>
      <c r="BL54">
        <v>72.78</v>
      </c>
      <c r="BM54">
        <v>10.92</v>
      </c>
      <c r="BN54">
        <v>83.7</v>
      </c>
      <c r="BO54">
        <v>83.7</v>
      </c>
      <c r="BQ54" t="s">
        <v>325</v>
      </c>
      <c r="BR54" t="s">
        <v>82</v>
      </c>
      <c r="BS54" s="3">
        <v>45993</v>
      </c>
      <c r="BT54" s="4">
        <v>0.42777777777777776</v>
      </c>
      <c r="BU54" t="s">
        <v>326</v>
      </c>
      <c r="BV54" t="s">
        <v>84</v>
      </c>
      <c r="BY54">
        <v>1200</v>
      </c>
      <c r="BZ54" t="s">
        <v>125</v>
      </c>
      <c r="CA54" t="s">
        <v>327</v>
      </c>
      <c r="CC54" t="s">
        <v>142</v>
      </c>
      <c r="CD54">
        <v>6001</v>
      </c>
      <c r="CE54" t="s">
        <v>127</v>
      </c>
      <c r="CF54" s="3">
        <v>45993</v>
      </c>
      <c r="CI54">
        <v>1</v>
      </c>
      <c r="CJ54">
        <v>1</v>
      </c>
      <c r="CK54">
        <v>21</v>
      </c>
      <c r="CL54" t="s">
        <v>87</v>
      </c>
    </row>
    <row r="55" spans="1:90" x14ac:dyDescent="0.3">
      <c r="A55" t="s">
        <v>72</v>
      </c>
      <c r="B55" t="s">
        <v>73</v>
      </c>
      <c r="C55" t="s">
        <v>74</v>
      </c>
      <c r="E55" t="str">
        <f>"080069580118"</f>
        <v>080069580118</v>
      </c>
      <c r="F55" s="3">
        <v>45992</v>
      </c>
      <c r="G55">
        <v>202609</v>
      </c>
      <c r="H55" t="s">
        <v>75</v>
      </c>
      <c r="I55" t="s">
        <v>76</v>
      </c>
      <c r="J55" t="s">
        <v>77</v>
      </c>
      <c r="K55" t="s">
        <v>78</v>
      </c>
      <c r="L55" t="s">
        <v>75</v>
      </c>
      <c r="M55" t="s">
        <v>76</v>
      </c>
      <c r="N55" t="s">
        <v>328</v>
      </c>
      <c r="O55" t="s">
        <v>89</v>
      </c>
      <c r="P55" t="str">
        <f>"4170071276                    "</f>
        <v xml:space="preserve">4170071276                    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17.37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1</v>
      </c>
      <c r="BI55">
        <v>1</v>
      </c>
      <c r="BJ55">
        <v>0.2</v>
      </c>
      <c r="BK55">
        <v>1</v>
      </c>
      <c r="BL55">
        <v>56.85</v>
      </c>
      <c r="BM55">
        <v>8.5299999999999994</v>
      </c>
      <c r="BN55">
        <v>65.38</v>
      </c>
      <c r="BO55">
        <v>65.38</v>
      </c>
      <c r="BQ55" t="s">
        <v>329</v>
      </c>
      <c r="BR55" t="s">
        <v>82</v>
      </c>
      <c r="BS55" s="3">
        <v>45994</v>
      </c>
      <c r="BT55" s="4">
        <v>0.41805555555555557</v>
      </c>
      <c r="BU55" t="s">
        <v>330</v>
      </c>
      <c r="BV55" t="s">
        <v>87</v>
      </c>
      <c r="BY55">
        <v>1200</v>
      </c>
      <c r="CA55" t="s">
        <v>331</v>
      </c>
      <c r="CC55" t="s">
        <v>76</v>
      </c>
      <c r="CD55">
        <v>1645</v>
      </c>
      <c r="CE55" t="s">
        <v>134</v>
      </c>
      <c r="CF55" s="3">
        <v>45994</v>
      </c>
      <c r="CI55">
        <v>1</v>
      </c>
      <c r="CJ55">
        <v>2</v>
      </c>
      <c r="CK55">
        <v>22</v>
      </c>
      <c r="CL55" t="s">
        <v>87</v>
      </c>
    </row>
    <row r="56" spans="1:90" x14ac:dyDescent="0.3">
      <c r="A56" t="s">
        <v>72</v>
      </c>
      <c r="B56" t="s">
        <v>73</v>
      </c>
      <c r="C56" t="s">
        <v>74</v>
      </c>
      <c r="E56" t="str">
        <f>"080069580196"</f>
        <v>080069580196</v>
      </c>
      <c r="F56" s="3">
        <v>45992</v>
      </c>
      <c r="G56">
        <v>202609</v>
      </c>
      <c r="H56" t="s">
        <v>75</v>
      </c>
      <c r="I56" t="s">
        <v>76</v>
      </c>
      <c r="J56" t="s">
        <v>77</v>
      </c>
      <c r="K56" t="s">
        <v>78</v>
      </c>
      <c r="L56" t="s">
        <v>332</v>
      </c>
      <c r="M56" t="s">
        <v>333</v>
      </c>
      <c r="N56" t="s">
        <v>334</v>
      </c>
      <c r="O56" t="s">
        <v>89</v>
      </c>
      <c r="P56" t="str">
        <f>"4170071280                    "</f>
        <v xml:space="preserve">4170071280                    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43.09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1</v>
      </c>
      <c r="BI56">
        <v>1</v>
      </c>
      <c r="BJ56">
        <v>0.2</v>
      </c>
      <c r="BK56">
        <v>1</v>
      </c>
      <c r="BL56">
        <v>141.02000000000001</v>
      </c>
      <c r="BM56">
        <v>21.15</v>
      </c>
      <c r="BN56">
        <v>162.16999999999999</v>
      </c>
      <c r="BO56">
        <v>162.16999999999999</v>
      </c>
      <c r="BQ56" t="s">
        <v>335</v>
      </c>
      <c r="BR56" t="s">
        <v>82</v>
      </c>
      <c r="BS56" s="3">
        <v>45993</v>
      </c>
      <c r="BT56" s="4">
        <v>0.60555555555555551</v>
      </c>
      <c r="BU56" t="s">
        <v>336</v>
      </c>
      <c r="BV56" t="s">
        <v>84</v>
      </c>
      <c r="BY56">
        <v>1200</v>
      </c>
      <c r="CA56">
        <v>9512195092080</v>
      </c>
      <c r="CC56" t="s">
        <v>333</v>
      </c>
      <c r="CD56">
        <v>6500</v>
      </c>
      <c r="CE56" t="s">
        <v>134</v>
      </c>
      <c r="CF56" s="3">
        <v>45993</v>
      </c>
      <c r="CI56">
        <v>1</v>
      </c>
      <c r="CJ56">
        <v>1</v>
      </c>
      <c r="CK56">
        <v>23</v>
      </c>
      <c r="CL56" t="s">
        <v>87</v>
      </c>
    </row>
    <row r="57" spans="1:90" x14ac:dyDescent="0.3">
      <c r="A57" t="s">
        <v>72</v>
      </c>
      <c r="B57" t="s">
        <v>73</v>
      </c>
      <c r="C57" t="s">
        <v>74</v>
      </c>
      <c r="E57" t="str">
        <f>"080069580199"</f>
        <v>080069580199</v>
      </c>
      <c r="F57" s="3">
        <v>45992</v>
      </c>
      <c r="G57">
        <v>202609</v>
      </c>
      <c r="H57" t="s">
        <v>75</v>
      </c>
      <c r="I57" t="s">
        <v>76</v>
      </c>
      <c r="J57" t="s">
        <v>77</v>
      </c>
      <c r="K57" t="s">
        <v>78</v>
      </c>
      <c r="L57" t="s">
        <v>120</v>
      </c>
      <c r="M57" t="s">
        <v>121</v>
      </c>
      <c r="N57" t="s">
        <v>337</v>
      </c>
      <c r="O57" t="s">
        <v>80</v>
      </c>
      <c r="P57" t="str">
        <f>"4170071133                    "</f>
        <v xml:space="preserve">4170071133                    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48.34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1</v>
      </c>
      <c r="BI57">
        <v>17</v>
      </c>
      <c r="BJ57">
        <v>17.7</v>
      </c>
      <c r="BK57">
        <v>18</v>
      </c>
      <c r="BL57">
        <v>164.3</v>
      </c>
      <c r="BM57">
        <v>24.65</v>
      </c>
      <c r="BN57">
        <v>188.95</v>
      </c>
      <c r="BO57">
        <v>188.95</v>
      </c>
      <c r="BQ57" t="s">
        <v>338</v>
      </c>
      <c r="BR57" t="s">
        <v>82</v>
      </c>
      <c r="BS57" s="3">
        <v>45994</v>
      </c>
      <c r="BT57" s="4">
        <v>0.41736111111111113</v>
      </c>
      <c r="BU57" t="s">
        <v>339</v>
      </c>
      <c r="BV57" t="s">
        <v>84</v>
      </c>
      <c r="BY57">
        <v>88320</v>
      </c>
      <c r="CA57" t="s">
        <v>126</v>
      </c>
      <c r="CC57" t="s">
        <v>121</v>
      </c>
      <c r="CD57">
        <v>6230</v>
      </c>
      <c r="CE57" t="s">
        <v>86</v>
      </c>
      <c r="CF57" s="3">
        <v>45995</v>
      </c>
      <c r="CI57">
        <v>3</v>
      </c>
      <c r="CJ57">
        <v>2</v>
      </c>
      <c r="CK57">
        <v>41</v>
      </c>
      <c r="CL57" t="s">
        <v>87</v>
      </c>
    </row>
    <row r="58" spans="1:90" x14ac:dyDescent="0.3">
      <c r="A58" t="s">
        <v>72</v>
      </c>
      <c r="B58" t="s">
        <v>73</v>
      </c>
      <c r="C58" t="s">
        <v>74</v>
      </c>
      <c r="E58" t="str">
        <f>"080069580275"</f>
        <v>080069580275</v>
      </c>
      <c r="F58" s="3">
        <v>45992</v>
      </c>
      <c r="G58">
        <v>202609</v>
      </c>
      <c r="H58" t="s">
        <v>75</v>
      </c>
      <c r="I58" t="s">
        <v>76</v>
      </c>
      <c r="J58" t="s">
        <v>77</v>
      </c>
      <c r="K58" t="s">
        <v>78</v>
      </c>
      <c r="L58" t="s">
        <v>75</v>
      </c>
      <c r="M58" t="s">
        <v>76</v>
      </c>
      <c r="N58" t="s">
        <v>328</v>
      </c>
      <c r="O58" t="s">
        <v>89</v>
      </c>
      <c r="P58" t="str">
        <f>"4170071269                    "</f>
        <v xml:space="preserve">4170071269                    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17.37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1</v>
      </c>
      <c r="BI58">
        <v>1</v>
      </c>
      <c r="BJ58">
        <v>0.2</v>
      </c>
      <c r="BK58">
        <v>1</v>
      </c>
      <c r="BL58">
        <v>56.85</v>
      </c>
      <c r="BM58">
        <v>8.5299999999999994</v>
      </c>
      <c r="BN58">
        <v>65.38</v>
      </c>
      <c r="BO58">
        <v>65.38</v>
      </c>
      <c r="BQ58" t="s">
        <v>329</v>
      </c>
      <c r="BR58" t="s">
        <v>82</v>
      </c>
      <c r="BS58" s="3">
        <v>45994</v>
      </c>
      <c r="BT58" s="4">
        <v>0.41805555555555557</v>
      </c>
      <c r="BU58" t="s">
        <v>330</v>
      </c>
      <c r="BV58" t="s">
        <v>87</v>
      </c>
      <c r="BY58">
        <v>1200</v>
      </c>
      <c r="CA58" t="s">
        <v>331</v>
      </c>
      <c r="CC58" t="s">
        <v>76</v>
      </c>
      <c r="CD58">
        <v>1645</v>
      </c>
      <c r="CE58" t="s">
        <v>134</v>
      </c>
      <c r="CF58" s="3">
        <v>45994</v>
      </c>
      <c r="CI58">
        <v>1</v>
      </c>
      <c r="CJ58">
        <v>2</v>
      </c>
      <c r="CK58">
        <v>22</v>
      </c>
      <c r="CL58" t="s">
        <v>87</v>
      </c>
    </row>
    <row r="59" spans="1:90" x14ac:dyDescent="0.3">
      <c r="A59" t="s">
        <v>72</v>
      </c>
      <c r="B59" t="s">
        <v>73</v>
      </c>
      <c r="C59" t="s">
        <v>74</v>
      </c>
      <c r="E59" t="str">
        <f>"080069580280"</f>
        <v>080069580280</v>
      </c>
      <c r="F59" s="3">
        <v>45992</v>
      </c>
      <c r="G59">
        <v>202609</v>
      </c>
      <c r="H59" t="s">
        <v>75</v>
      </c>
      <c r="I59" t="s">
        <v>76</v>
      </c>
      <c r="J59" t="s">
        <v>77</v>
      </c>
      <c r="K59" t="s">
        <v>78</v>
      </c>
      <c r="L59" t="s">
        <v>75</v>
      </c>
      <c r="M59" t="s">
        <v>76</v>
      </c>
      <c r="N59" t="s">
        <v>328</v>
      </c>
      <c r="O59" t="s">
        <v>340</v>
      </c>
      <c r="P59" t="str">
        <f>"4170071244                    "</f>
        <v xml:space="preserve">4170071244                    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17.38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1</v>
      </c>
      <c r="BI59">
        <v>1</v>
      </c>
      <c r="BJ59">
        <v>3.4</v>
      </c>
      <c r="BK59">
        <v>4</v>
      </c>
      <c r="BL59">
        <v>56.87</v>
      </c>
      <c r="BM59">
        <v>8.5299999999999994</v>
      </c>
      <c r="BN59">
        <v>65.400000000000006</v>
      </c>
      <c r="BO59">
        <v>65.400000000000006</v>
      </c>
      <c r="BQ59" t="s">
        <v>329</v>
      </c>
      <c r="BR59" t="s">
        <v>82</v>
      </c>
      <c r="BS59" s="3">
        <v>45993</v>
      </c>
      <c r="BT59" s="4">
        <v>0.39097222222222222</v>
      </c>
      <c r="BU59" t="s">
        <v>341</v>
      </c>
      <c r="BV59" t="s">
        <v>84</v>
      </c>
      <c r="BY59">
        <v>16965</v>
      </c>
      <c r="CA59" t="s">
        <v>331</v>
      </c>
      <c r="CC59" t="s">
        <v>76</v>
      </c>
      <c r="CD59">
        <v>1645</v>
      </c>
      <c r="CE59" t="s">
        <v>86</v>
      </c>
      <c r="CF59" s="3">
        <v>45993</v>
      </c>
      <c r="CI59">
        <v>1</v>
      </c>
      <c r="CJ59">
        <v>1</v>
      </c>
      <c r="CK59">
        <v>32</v>
      </c>
      <c r="CL59" t="s">
        <v>87</v>
      </c>
    </row>
    <row r="60" spans="1:90" x14ac:dyDescent="0.3">
      <c r="A60" t="s">
        <v>72</v>
      </c>
      <c r="B60" t="s">
        <v>73</v>
      </c>
      <c r="C60" t="s">
        <v>74</v>
      </c>
      <c r="E60" t="str">
        <f>"080069580443"</f>
        <v>080069580443</v>
      </c>
      <c r="F60" s="3">
        <v>45992</v>
      </c>
      <c r="G60">
        <v>202609</v>
      </c>
      <c r="H60" t="s">
        <v>75</v>
      </c>
      <c r="I60" t="s">
        <v>76</v>
      </c>
      <c r="J60" t="s">
        <v>77</v>
      </c>
      <c r="K60" t="s">
        <v>78</v>
      </c>
      <c r="L60" t="s">
        <v>156</v>
      </c>
      <c r="M60" t="s">
        <v>157</v>
      </c>
      <c r="N60" t="s">
        <v>342</v>
      </c>
      <c r="O60" t="s">
        <v>89</v>
      </c>
      <c r="P60" t="str">
        <f>"4170071296                    "</f>
        <v xml:space="preserve">4170071296                    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22.24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1</v>
      </c>
      <c r="BI60">
        <v>1</v>
      </c>
      <c r="BJ60">
        <v>0.2</v>
      </c>
      <c r="BK60">
        <v>1</v>
      </c>
      <c r="BL60">
        <v>72.78</v>
      </c>
      <c r="BM60">
        <v>10.92</v>
      </c>
      <c r="BN60">
        <v>83.7</v>
      </c>
      <c r="BO60">
        <v>83.7</v>
      </c>
      <c r="BQ60" t="s">
        <v>343</v>
      </c>
      <c r="BR60" t="s">
        <v>82</v>
      </c>
      <c r="BS60" s="3">
        <v>45993</v>
      </c>
      <c r="BT60" s="4">
        <v>0.63472222222222219</v>
      </c>
      <c r="BU60" t="s">
        <v>344</v>
      </c>
      <c r="BV60" t="s">
        <v>87</v>
      </c>
      <c r="BW60" t="s">
        <v>153</v>
      </c>
      <c r="BX60" t="s">
        <v>345</v>
      </c>
      <c r="BY60">
        <v>1200</v>
      </c>
      <c r="CA60" t="s">
        <v>346</v>
      </c>
      <c r="CC60" t="s">
        <v>157</v>
      </c>
      <c r="CD60">
        <v>7561</v>
      </c>
      <c r="CE60" t="s">
        <v>134</v>
      </c>
      <c r="CF60" s="3">
        <v>45994</v>
      </c>
      <c r="CI60">
        <v>1</v>
      </c>
      <c r="CJ60">
        <v>1</v>
      </c>
      <c r="CK60">
        <v>21</v>
      </c>
      <c r="CL60" t="s">
        <v>87</v>
      </c>
    </row>
    <row r="61" spans="1:90" x14ac:dyDescent="0.3">
      <c r="A61" t="s">
        <v>72</v>
      </c>
      <c r="B61" t="s">
        <v>73</v>
      </c>
      <c r="C61" t="s">
        <v>74</v>
      </c>
      <c r="E61" t="str">
        <f>"080069580418"</f>
        <v>080069580418</v>
      </c>
      <c r="F61" s="3">
        <v>45992</v>
      </c>
      <c r="G61">
        <v>202609</v>
      </c>
      <c r="H61" t="s">
        <v>75</v>
      </c>
      <c r="I61" t="s">
        <v>76</v>
      </c>
      <c r="J61" t="s">
        <v>77</v>
      </c>
      <c r="K61" t="s">
        <v>78</v>
      </c>
      <c r="L61" t="s">
        <v>302</v>
      </c>
      <c r="M61" t="s">
        <v>303</v>
      </c>
      <c r="N61" t="s">
        <v>347</v>
      </c>
      <c r="O61" t="s">
        <v>89</v>
      </c>
      <c r="P61" t="str">
        <f>"4170071208                    "</f>
        <v xml:space="preserve">4170071208                    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22.24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1</v>
      </c>
      <c r="BI61">
        <v>2</v>
      </c>
      <c r="BJ61">
        <v>1.8</v>
      </c>
      <c r="BK61">
        <v>2</v>
      </c>
      <c r="BL61">
        <v>72.78</v>
      </c>
      <c r="BM61">
        <v>10.92</v>
      </c>
      <c r="BN61">
        <v>83.7</v>
      </c>
      <c r="BO61">
        <v>83.7</v>
      </c>
      <c r="BQ61" t="s">
        <v>348</v>
      </c>
      <c r="BR61" t="s">
        <v>82</v>
      </c>
      <c r="BS61" s="3">
        <v>45993</v>
      </c>
      <c r="BT61" s="4">
        <v>0.42083333333333334</v>
      </c>
      <c r="BU61" t="s">
        <v>349</v>
      </c>
      <c r="BV61" t="s">
        <v>84</v>
      </c>
      <c r="BY61">
        <v>8816</v>
      </c>
      <c r="CA61">
        <v>8507115621084</v>
      </c>
      <c r="CC61" t="s">
        <v>303</v>
      </c>
      <c r="CD61" s="5" t="s">
        <v>350</v>
      </c>
      <c r="CE61" t="s">
        <v>86</v>
      </c>
      <c r="CF61" s="3">
        <v>45993</v>
      </c>
      <c r="CI61">
        <v>1</v>
      </c>
      <c r="CJ61">
        <v>1</v>
      </c>
      <c r="CK61">
        <v>21</v>
      </c>
      <c r="CL61" t="s">
        <v>87</v>
      </c>
    </row>
    <row r="62" spans="1:90" x14ac:dyDescent="0.3">
      <c r="A62" t="s">
        <v>72</v>
      </c>
      <c r="B62" t="s">
        <v>73</v>
      </c>
      <c r="C62" t="s">
        <v>74</v>
      </c>
      <c r="E62" t="str">
        <f>"080069580515"</f>
        <v>080069580515</v>
      </c>
      <c r="F62" s="3">
        <v>45992</v>
      </c>
      <c r="G62">
        <v>202609</v>
      </c>
      <c r="H62" t="s">
        <v>75</v>
      </c>
      <c r="I62" t="s">
        <v>76</v>
      </c>
      <c r="J62" t="s">
        <v>77</v>
      </c>
      <c r="K62" t="s">
        <v>78</v>
      </c>
      <c r="L62" t="s">
        <v>351</v>
      </c>
      <c r="M62" t="s">
        <v>352</v>
      </c>
      <c r="N62" t="s">
        <v>353</v>
      </c>
      <c r="O62" t="s">
        <v>89</v>
      </c>
      <c r="P62" t="str">
        <f>"4170071278                    "</f>
        <v xml:space="preserve">4170071278                    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31.28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1</v>
      </c>
      <c r="BI62">
        <v>1</v>
      </c>
      <c r="BJ62">
        <v>0.2</v>
      </c>
      <c r="BK62">
        <v>1</v>
      </c>
      <c r="BL62">
        <v>102.36</v>
      </c>
      <c r="BM62">
        <v>15.35</v>
      </c>
      <c r="BN62">
        <v>117.71</v>
      </c>
      <c r="BO62">
        <v>117.71</v>
      </c>
      <c r="BQ62" t="s">
        <v>354</v>
      </c>
      <c r="BR62" t="s">
        <v>82</v>
      </c>
      <c r="BS62" s="3">
        <v>45995</v>
      </c>
      <c r="BT62" s="4">
        <v>0.43680555555555556</v>
      </c>
      <c r="BU62" t="s">
        <v>355</v>
      </c>
      <c r="BV62" t="s">
        <v>87</v>
      </c>
      <c r="BW62" t="s">
        <v>174</v>
      </c>
      <c r="BX62" t="s">
        <v>300</v>
      </c>
      <c r="BY62">
        <v>1200</v>
      </c>
      <c r="CA62" t="s">
        <v>356</v>
      </c>
      <c r="CC62" t="s">
        <v>352</v>
      </c>
      <c r="CD62">
        <v>1438</v>
      </c>
      <c r="CE62" t="s">
        <v>134</v>
      </c>
      <c r="CF62" s="3">
        <v>45996</v>
      </c>
      <c r="CI62">
        <v>1</v>
      </c>
      <c r="CJ62">
        <v>3</v>
      </c>
      <c r="CK62">
        <v>24</v>
      </c>
      <c r="CL62" t="s">
        <v>87</v>
      </c>
    </row>
    <row r="63" spans="1:90" x14ac:dyDescent="0.3">
      <c r="A63" t="s">
        <v>72</v>
      </c>
      <c r="B63" t="s">
        <v>73</v>
      </c>
      <c r="C63" t="s">
        <v>74</v>
      </c>
      <c r="E63" t="str">
        <f>"080069580636"</f>
        <v>080069580636</v>
      </c>
      <c r="F63" s="3">
        <v>45992</v>
      </c>
      <c r="G63">
        <v>202609</v>
      </c>
      <c r="H63" t="s">
        <v>75</v>
      </c>
      <c r="I63" t="s">
        <v>76</v>
      </c>
      <c r="J63" t="s">
        <v>77</v>
      </c>
      <c r="K63" t="s">
        <v>78</v>
      </c>
      <c r="L63" t="s">
        <v>94</v>
      </c>
      <c r="M63" t="s">
        <v>95</v>
      </c>
      <c r="N63" t="s">
        <v>357</v>
      </c>
      <c r="O63" t="s">
        <v>89</v>
      </c>
      <c r="P63" t="str">
        <f>"4170071221                    "</f>
        <v xml:space="preserve">4170071221                    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22.24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1</v>
      </c>
      <c r="BI63">
        <v>1</v>
      </c>
      <c r="BJ63">
        <v>0.2</v>
      </c>
      <c r="BK63">
        <v>1</v>
      </c>
      <c r="BL63">
        <v>72.78</v>
      </c>
      <c r="BM63">
        <v>10.92</v>
      </c>
      <c r="BN63">
        <v>83.7</v>
      </c>
      <c r="BO63">
        <v>83.7</v>
      </c>
      <c r="BQ63" t="s">
        <v>358</v>
      </c>
      <c r="BR63" t="s">
        <v>82</v>
      </c>
      <c r="BS63" s="3">
        <v>45993</v>
      </c>
      <c r="BT63" s="4">
        <v>0.42499999999999999</v>
      </c>
      <c r="BU63" t="s">
        <v>359</v>
      </c>
      <c r="BV63" t="s">
        <v>84</v>
      </c>
      <c r="BY63">
        <v>1200</v>
      </c>
      <c r="BZ63" t="s">
        <v>125</v>
      </c>
      <c r="CC63" t="s">
        <v>95</v>
      </c>
      <c r="CD63">
        <v>3620</v>
      </c>
      <c r="CE63" t="s">
        <v>127</v>
      </c>
      <c r="CF63" s="3">
        <v>45993</v>
      </c>
      <c r="CI63">
        <v>1</v>
      </c>
      <c r="CJ63">
        <v>1</v>
      </c>
      <c r="CK63">
        <v>21</v>
      </c>
      <c r="CL63" t="s">
        <v>87</v>
      </c>
    </row>
    <row r="64" spans="1:90" x14ac:dyDescent="0.3">
      <c r="A64" t="s">
        <v>72</v>
      </c>
      <c r="B64" t="s">
        <v>73</v>
      </c>
      <c r="C64" t="s">
        <v>74</v>
      </c>
      <c r="E64" t="str">
        <f>"080069580601"</f>
        <v>080069580601</v>
      </c>
      <c r="F64" s="3">
        <v>45992</v>
      </c>
      <c r="G64">
        <v>202609</v>
      </c>
      <c r="H64" t="s">
        <v>75</v>
      </c>
      <c r="I64" t="s">
        <v>76</v>
      </c>
      <c r="J64" t="s">
        <v>77</v>
      </c>
      <c r="K64" t="s">
        <v>78</v>
      </c>
      <c r="L64" t="s">
        <v>141</v>
      </c>
      <c r="M64" t="s">
        <v>142</v>
      </c>
      <c r="N64" t="s">
        <v>214</v>
      </c>
      <c r="O64" t="s">
        <v>89</v>
      </c>
      <c r="P64" t="str">
        <f>"4170071293                    "</f>
        <v xml:space="preserve">4170071293                    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22.24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1</v>
      </c>
      <c r="BI64">
        <v>1</v>
      </c>
      <c r="BJ64">
        <v>0.2</v>
      </c>
      <c r="BK64">
        <v>1</v>
      </c>
      <c r="BL64">
        <v>72.78</v>
      </c>
      <c r="BM64">
        <v>10.92</v>
      </c>
      <c r="BN64">
        <v>83.7</v>
      </c>
      <c r="BO64">
        <v>83.7</v>
      </c>
      <c r="BQ64" t="s">
        <v>215</v>
      </c>
      <c r="BR64" t="s">
        <v>82</v>
      </c>
      <c r="BS64" s="3">
        <v>45993</v>
      </c>
      <c r="BT64" s="4">
        <v>0.39027777777777778</v>
      </c>
      <c r="BU64" t="s">
        <v>360</v>
      </c>
      <c r="BV64" t="s">
        <v>84</v>
      </c>
      <c r="BY64">
        <v>1200</v>
      </c>
      <c r="BZ64" t="s">
        <v>125</v>
      </c>
      <c r="CA64" t="s">
        <v>224</v>
      </c>
      <c r="CC64" t="s">
        <v>142</v>
      </c>
      <c r="CD64">
        <v>6001</v>
      </c>
      <c r="CE64" t="s">
        <v>127</v>
      </c>
      <c r="CF64" s="3">
        <v>45993</v>
      </c>
      <c r="CI64">
        <v>1</v>
      </c>
      <c r="CJ64">
        <v>1</v>
      </c>
      <c r="CK64">
        <v>21</v>
      </c>
      <c r="CL64" t="s">
        <v>87</v>
      </c>
    </row>
    <row r="65" spans="1:90" x14ac:dyDescent="0.3">
      <c r="A65" t="s">
        <v>72</v>
      </c>
      <c r="B65" t="s">
        <v>73</v>
      </c>
      <c r="C65" t="s">
        <v>74</v>
      </c>
      <c r="E65" t="str">
        <f>"080069580689"</f>
        <v>080069580689</v>
      </c>
      <c r="F65" s="3">
        <v>45992</v>
      </c>
      <c r="G65">
        <v>202609</v>
      </c>
      <c r="H65" t="s">
        <v>75</v>
      </c>
      <c r="I65" t="s">
        <v>76</v>
      </c>
      <c r="J65" t="s">
        <v>77</v>
      </c>
      <c r="K65" t="s">
        <v>78</v>
      </c>
      <c r="L65" t="s">
        <v>75</v>
      </c>
      <c r="M65" t="s">
        <v>76</v>
      </c>
      <c r="N65" t="s">
        <v>79</v>
      </c>
      <c r="O65" t="s">
        <v>89</v>
      </c>
      <c r="P65" t="str">
        <f>"4170071273                    "</f>
        <v xml:space="preserve">4170071273                    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17.37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1</v>
      </c>
      <c r="BI65">
        <v>1</v>
      </c>
      <c r="BJ65">
        <v>0.2</v>
      </c>
      <c r="BK65">
        <v>1</v>
      </c>
      <c r="BL65">
        <v>56.85</v>
      </c>
      <c r="BM65">
        <v>8.5299999999999994</v>
      </c>
      <c r="BN65">
        <v>65.38</v>
      </c>
      <c r="BO65">
        <v>65.38</v>
      </c>
      <c r="BQ65" t="s">
        <v>81</v>
      </c>
      <c r="BR65" t="s">
        <v>82</v>
      </c>
      <c r="BS65" s="3">
        <v>45994</v>
      </c>
      <c r="BT65" s="4">
        <v>0.4152777777777778</v>
      </c>
      <c r="BU65" t="s">
        <v>83</v>
      </c>
      <c r="BV65" t="s">
        <v>87</v>
      </c>
      <c r="BY65">
        <v>1200</v>
      </c>
      <c r="CA65" t="s">
        <v>85</v>
      </c>
      <c r="CC65" t="s">
        <v>76</v>
      </c>
      <c r="CD65">
        <v>1619</v>
      </c>
      <c r="CE65" t="s">
        <v>134</v>
      </c>
      <c r="CF65" s="3">
        <v>45994</v>
      </c>
      <c r="CI65">
        <v>1</v>
      </c>
      <c r="CJ65">
        <v>2</v>
      </c>
      <c r="CK65">
        <v>22</v>
      </c>
      <c r="CL65" t="s">
        <v>87</v>
      </c>
    </row>
    <row r="66" spans="1:90" x14ac:dyDescent="0.3">
      <c r="A66" t="s">
        <v>72</v>
      </c>
      <c r="B66" t="s">
        <v>73</v>
      </c>
      <c r="C66" t="s">
        <v>74</v>
      </c>
      <c r="E66" t="str">
        <f>"080069580753"</f>
        <v>080069580753</v>
      </c>
      <c r="F66" s="3">
        <v>45992</v>
      </c>
      <c r="G66">
        <v>202609</v>
      </c>
      <c r="H66" t="s">
        <v>75</v>
      </c>
      <c r="I66" t="s">
        <v>76</v>
      </c>
      <c r="J66" t="s">
        <v>77</v>
      </c>
      <c r="K66" t="s">
        <v>78</v>
      </c>
      <c r="L66" t="s">
        <v>272</v>
      </c>
      <c r="M66" t="s">
        <v>273</v>
      </c>
      <c r="N66" t="s">
        <v>274</v>
      </c>
      <c r="O66" t="s">
        <v>89</v>
      </c>
      <c r="P66" t="str">
        <f>"4170071277                    "</f>
        <v xml:space="preserve">4170071277                    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22.24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1</v>
      </c>
      <c r="BI66">
        <v>1</v>
      </c>
      <c r="BJ66">
        <v>0.2</v>
      </c>
      <c r="BK66">
        <v>1</v>
      </c>
      <c r="BL66">
        <v>72.78</v>
      </c>
      <c r="BM66">
        <v>10.92</v>
      </c>
      <c r="BN66">
        <v>83.7</v>
      </c>
      <c r="BO66">
        <v>83.7</v>
      </c>
      <c r="BQ66" t="s">
        <v>275</v>
      </c>
      <c r="BR66" t="s">
        <v>82</v>
      </c>
      <c r="BS66" s="3">
        <v>45993</v>
      </c>
      <c r="BT66" s="4">
        <v>0.42986111111111114</v>
      </c>
      <c r="BU66" t="s">
        <v>276</v>
      </c>
      <c r="BV66" t="s">
        <v>84</v>
      </c>
      <c r="BY66">
        <v>1200</v>
      </c>
      <c r="BZ66" t="s">
        <v>125</v>
      </c>
      <c r="CA66" t="s">
        <v>277</v>
      </c>
      <c r="CC66" t="s">
        <v>273</v>
      </c>
      <c r="CD66">
        <v>6220</v>
      </c>
      <c r="CE66" t="s">
        <v>361</v>
      </c>
      <c r="CF66" s="3">
        <v>45993</v>
      </c>
      <c r="CI66">
        <v>1</v>
      </c>
      <c r="CJ66">
        <v>1</v>
      </c>
      <c r="CK66">
        <v>21</v>
      </c>
      <c r="CL66" t="s">
        <v>87</v>
      </c>
    </row>
    <row r="67" spans="1:90" x14ac:dyDescent="0.3">
      <c r="A67" t="s">
        <v>72</v>
      </c>
      <c r="B67" t="s">
        <v>73</v>
      </c>
      <c r="C67" t="s">
        <v>74</v>
      </c>
      <c r="E67" t="str">
        <f>"080069580797"</f>
        <v>080069580797</v>
      </c>
      <c r="F67" s="3">
        <v>45992</v>
      </c>
      <c r="G67">
        <v>202609</v>
      </c>
      <c r="H67" t="s">
        <v>75</v>
      </c>
      <c r="I67" t="s">
        <v>76</v>
      </c>
      <c r="J67" t="s">
        <v>77</v>
      </c>
      <c r="K67" t="s">
        <v>78</v>
      </c>
      <c r="L67" t="s">
        <v>141</v>
      </c>
      <c r="M67" t="s">
        <v>142</v>
      </c>
      <c r="N67" t="s">
        <v>143</v>
      </c>
      <c r="O67" t="s">
        <v>89</v>
      </c>
      <c r="P67" t="str">
        <f>"4170071266                    "</f>
        <v xml:space="preserve">4170071266                    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22.24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1</v>
      </c>
      <c r="BI67">
        <v>1</v>
      </c>
      <c r="BJ67">
        <v>0.2</v>
      </c>
      <c r="BK67">
        <v>1</v>
      </c>
      <c r="BL67">
        <v>72.78</v>
      </c>
      <c r="BM67">
        <v>10.92</v>
      </c>
      <c r="BN67">
        <v>83.7</v>
      </c>
      <c r="BO67">
        <v>83.7</v>
      </c>
      <c r="BQ67" t="s">
        <v>144</v>
      </c>
      <c r="BR67" t="s">
        <v>82</v>
      </c>
      <c r="BS67" s="3">
        <v>45993</v>
      </c>
      <c r="BT67" s="4">
        <v>0.43194444444444446</v>
      </c>
      <c r="BU67" t="s">
        <v>145</v>
      </c>
      <c r="BV67" t="s">
        <v>84</v>
      </c>
      <c r="BY67">
        <v>1200</v>
      </c>
      <c r="BZ67" t="s">
        <v>125</v>
      </c>
      <c r="CA67" t="s">
        <v>146</v>
      </c>
      <c r="CC67" t="s">
        <v>142</v>
      </c>
      <c r="CD67">
        <v>6001</v>
      </c>
      <c r="CE67" t="s">
        <v>127</v>
      </c>
      <c r="CF67" s="3">
        <v>45993</v>
      </c>
      <c r="CI67">
        <v>1</v>
      </c>
      <c r="CJ67">
        <v>1</v>
      </c>
      <c r="CK67">
        <v>21</v>
      </c>
      <c r="CL67" t="s">
        <v>87</v>
      </c>
    </row>
    <row r="68" spans="1:90" x14ac:dyDescent="0.3">
      <c r="A68" t="s">
        <v>72</v>
      </c>
      <c r="B68" t="s">
        <v>73</v>
      </c>
      <c r="C68" t="s">
        <v>74</v>
      </c>
      <c r="E68" t="str">
        <f>"080069580877"</f>
        <v>080069580877</v>
      </c>
      <c r="F68" s="3">
        <v>45992</v>
      </c>
      <c r="G68">
        <v>202609</v>
      </c>
      <c r="H68" t="s">
        <v>75</v>
      </c>
      <c r="I68" t="s">
        <v>76</v>
      </c>
      <c r="J68" t="s">
        <v>77</v>
      </c>
      <c r="K68" t="s">
        <v>78</v>
      </c>
      <c r="L68" t="s">
        <v>94</v>
      </c>
      <c r="M68" t="s">
        <v>95</v>
      </c>
      <c r="N68" t="s">
        <v>230</v>
      </c>
      <c r="O68" t="s">
        <v>89</v>
      </c>
      <c r="P68" t="str">
        <f>"4170071263                    "</f>
        <v xml:space="preserve">4170071263                    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22.24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1</v>
      </c>
      <c r="BI68">
        <v>1</v>
      </c>
      <c r="BJ68">
        <v>0.2</v>
      </c>
      <c r="BK68">
        <v>1</v>
      </c>
      <c r="BL68">
        <v>72.78</v>
      </c>
      <c r="BM68">
        <v>10.92</v>
      </c>
      <c r="BN68">
        <v>83.7</v>
      </c>
      <c r="BO68">
        <v>83.7</v>
      </c>
      <c r="BQ68" t="s">
        <v>231</v>
      </c>
      <c r="BR68" t="s">
        <v>82</v>
      </c>
      <c r="BS68" s="3">
        <v>45993</v>
      </c>
      <c r="BT68" s="4">
        <v>0.3972222222222222</v>
      </c>
      <c r="BU68" t="s">
        <v>232</v>
      </c>
      <c r="BV68" t="s">
        <v>84</v>
      </c>
      <c r="BY68">
        <v>1200</v>
      </c>
      <c r="CC68" t="s">
        <v>95</v>
      </c>
      <c r="CD68">
        <v>3608</v>
      </c>
      <c r="CE68" t="s">
        <v>134</v>
      </c>
      <c r="CF68" s="3">
        <v>45993</v>
      </c>
      <c r="CI68">
        <v>1</v>
      </c>
      <c r="CJ68">
        <v>1</v>
      </c>
      <c r="CK68">
        <v>21</v>
      </c>
      <c r="CL68" t="s">
        <v>87</v>
      </c>
    </row>
    <row r="69" spans="1:90" x14ac:dyDescent="0.3">
      <c r="A69" t="s">
        <v>72</v>
      </c>
      <c r="B69" t="s">
        <v>73</v>
      </c>
      <c r="C69" t="s">
        <v>74</v>
      </c>
      <c r="E69" t="str">
        <f>"080069580993"</f>
        <v>080069580993</v>
      </c>
      <c r="F69" s="3">
        <v>45992</v>
      </c>
      <c r="G69">
        <v>202609</v>
      </c>
      <c r="H69" t="s">
        <v>75</v>
      </c>
      <c r="I69" t="s">
        <v>76</v>
      </c>
      <c r="J69" t="s">
        <v>77</v>
      </c>
      <c r="K69" t="s">
        <v>78</v>
      </c>
      <c r="L69" t="s">
        <v>94</v>
      </c>
      <c r="M69" t="s">
        <v>95</v>
      </c>
      <c r="N69" t="s">
        <v>362</v>
      </c>
      <c r="O69" t="s">
        <v>89</v>
      </c>
      <c r="P69" t="str">
        <f>"4170071265                    "</f>
        <v xml:space="preserve">4170071265                    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22.24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1</v>
      </c>
      <c r="BI69">
        <v>1</v>
      </c>
      <c r="BJ69">
        <v>0.2</v>
      </c>
      <c r="BK69">
        <v>1</v>
      </c>
      <c r="BL69">
        <v>72.78</v>
      </c>
      <c r="BM69">
        <v>10.92</v>
      </c>
      <c r="BN69">
        <v>83.7</v>
      </c>
      <c r="BO69">
        <v>83.7</v>
      </c>
      <c r="BQ69" t="s">
        <v>363</v>
      </c>
      <c r="BR69" t="s">
        <v>82</v>
      </c>
      <c r="BS69" s="3">
        <v>45993</v>
      </c>
      <c r="BT69" s="4">
        <v>0.37708333333333333</v>
      </c>
      <c r="BU69" t="s">
        <v>251</v>
      </c>
      <c r="BV69" t="s">
        <v>84</v>
      </c>
      <c r="BY69">
        <v>1200</v>
      </c>
      <c r="CC69" t="s">
        <v>95</v>
      </c>
      <c r="CD69">
        <v>3610</v>
      </c>
      <c r="CE69" t="s">
        <v>134</v>
      </c>
      <c r="CF69" s="3">
        <v>45993</v>
      </c>
      <c r="CI69">
        <v>1</v>
      </c>
      <c r="CJ69">
        <v>1</v>
      </c>
      <c r="CK69">
        <v>21</v>
      </c>
      <c r="CL69" t="s">
        <v>87</v>
      </c>
    </row>
    <row r="70" spans="1:90" x14ac:dyDescent="0.3">
      <c r="A70" t="s">
        <v>72</v>
      </c>
      <c r="B70" t="s">
        <v>73</v>
      </c>
      <c r="C70" t="s">
        <v>74</v>
      </c>
      <c r="E70" t="str">
        <f>"080069581087"</f>
        <v>080069581087</v>
      </c>
      <c r="F70" s="3">
        <v>45992</v>
      </c>
      <c r="G70">
        <v>202609</v>
      </c>
      <c r="H70" t="s">
        <v>75</v>
      </c>
      <c r="I70" t="s">
        <v>76</v>
      </c>
      <c r="J70" t="s">
        <v>77</v>
      </c>
      <c r="K70" t="s">
        <v>78</v>
      </c>
      <c r="L70" t="s">
        <v>351</v>
      </c>
      <c r="M70" t="s">
        <v>352</v>
      </c>
      <c r="N70" t="s">
        <v>353</v>
      </c>
      <c r="O70" t="s">
        <v>89</v>
      </c>
      <c r="P70" t="str">
        <f>"4170071260                    "</f>
        <v xml:space="preserve">4170071260                    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31.28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1</v>
      </c>
      <c r="BI70">
        <v>1</v>
      </c>
      <c r="BJ70">
        <v>0.2</v>
      </c>
      <c r="BK70">
        <v>1</v>
      </c>
      <c r="BL70">
        <v>102.36</v>
      </c>
      <c r="BM70">
        <v>15.35</v>
      </c>
      <c r="BN70">
        <v>117.71</v>
      </c>
      <c r="BO70">
        <v>117.71</v>
      </c>
      <c r="BQ70" t="s">
        <v>354</v>
      </c>
      <c r="BR70" t="s">
        <v>82</v>
      </c>
      <c r="BS70" s="3">
        <v>45994</v>
      </c>
      <c r="BT70" s="4">
        <v>0.4548611111111111</v>
      </c>
      <c r="BU70" t="s">
        <v>364</v>
      </c>
      <c r="BV70" t="s">
        <v>87</v>
      </c>
      <c r="BW70" t="s">
        <v>174</v>
      </c>
      <c r="BX70" t="s">
        <v>198</v>
      </c>
      <c r="BY70">
        <v>1200</v>
      </c>
      <c r="CA70" t="s">
        <v>365</v>
      </c>
      <c r="CC70" t="s">
        <v>352</v>
      </c>
      <c r="CD70">
        <v>1438</v>
      </c>
      <c r="CE70" t="s">
        <v>134</v>
      </c>
      <c r="CF70" s="3">
        <v>45995</v>
      </c>
      <c r="CI70">
        <v>1</v>
      </c>
      <c r="CJ70">
        <v>2</v>
      </c>
      <c r="CK70">
        <v>24</v>
      </c>
      <c r="CL70" t="s">
        <v>87</v>
      </c>
    </row>
    <row r="71" spans="1:90" x14ac:dyDescent="0.3">
      <c r="A71" t="s">
        <v>72</v>
      </c>
      <c r="B71" t="s">
        <v>73</v>
      </c>
      <c r="C71" t="s">
        <v>74</v>
      </c>
      <c r="E71" t="str">
        <f>"080069581117"</f>
        <v>080069581117</v>
      </c>
      <c r="F71" s="3">
        <v>45992</v>
      </c>
      <c r="G71">
        <v>202609</v>
      </c>
      <c r="H71" t="s">
        <v>75</v>
      </c>
      <c r="I71" t="s">
        <v>76</v>
      </c>
      <c r="J71" t="s">
        <v>77</v>
      </c>
      <c r="K71" t="s">
        <v>78</v>
      </c>
      <c r="L71" t="s">
        <v>120</v>
      </c>
      <c r="M71" t="s">
        <v>121</v>
      </c>
      <c r="N71" t="s">
        <v>163</v>
      </c>
      <c r="O71" t="s">
        <v>89</v>
      </c>
      <c r="P71" t="str">
        <f>"4170071289                    "</f>
        <v xml:space="preserve">4170071289                    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22.24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1</v>
      </c>
      <c r="BI71">
        <v>1</v>
      </c>
      <c r="BJ71">
        <v>0.2</v>
      </c>
      <c r="BK71">
        <v>1</v>
      </c>
      <c r="BL71">
        <v>72.78</v>
      </c>
      <c r="BM71">
        <v>10.92</v>
      </c>
      <c r="BN71">
        <v>83.7</v>
      </c>
      <c r="BO71">
        <v>83.7</v>
      </c>
      <c r="BQ71" t="s">
        <v>164</v>
      </c>
      <c r="BR71" t="s">
        <v>82</v>
      </c>
      <c r="BS71" s="3">
        <v>45993</v>
      </c>
      <c r="BT71" s="4">
        <v>0.41041666666666665</v>
      </c>
      <c r="BU71" t="s">
        <v>165</v>
      </c>
      <c r="BV71" t="s">
        <v>84</v>
      </c>
      <c r="BY71">
        <v>1200</v>
      </c>
      <c r="BZ71" t="s">
        <v>125</v>
      </c>
      <c r="CA71" t="s">
        <v>126</v>
      </c>
      <c r="CC71" t="s">
        <v>121</v>
      </c>
      <c r="CD71">
        <v>6230</v>
      </c>
      <c r="CE71" t="s">
        <v>127</v>
      </c>
      <c r="CF71" s="3">
        <v>45993</v>
      </c>
      <c r="CI71">
        <v>1</v>
      </c>
      <c r="CJ71">
        <v>1</v>
      </c>
      <c r="CK71">
        <v>21</v>
      </c>
      <c r="CL71" t="s">
        <v>87</v>
      </c>
    </row>
    <row r="72" spans="1:90" x14ac:dyDescent="0.3">
      <c r="A72" t="s">
        <v>72</v>
      </c>
      <c r="B72" t="s">
        <v>73</v>
      </c>
      <c r="C72" t="s">
        <v>74</v>
      </c>
      <c r="E72" t="str">
        <f>"080069581178"</f>
        <v>080069581178</v>
      </c>
      <c r="F72" s="3">
        <v>45992</v>
      </c>
      <c r="G72">
        <v>202609</v>
      </c>
      <c r="H72" t="s">
        <v>75</v>
      </c>
      <c r="I72" t="s">
        <v>76</v>
      </c>
      <c r="J72" t="s">
        <v>77</v>
      </c>
      <c r="K72" t="s">
        <v>78</v>
      </c>
      <c r="L72" t="s">
        <v>366</v>
      </c>
      <c r="M72" t="s">
        <v>367</v>
      </c>
      <c r="N72" t="s">
        <v>368</v>
      </c>
      <c r="O72" t="s">
        <v>89</v>
      </c>
      <c r="P72" t="str">
        <f>"4170071282                    "</f>
        <v xml:space="preserve">4170071282                    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62.55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1</v>
      </c>
      <c r="BI72">
        <v>3</v>
      </c>
      <c r="BJ72">
        <v>1.9</v>
      </c>
      <c r="BK72">
        <v>3</v>
      </c>
      <c r="BL72">
        <v>204.7</v>
      </c>
      <c r="BM72">
        <v>30.71</v>
      </c>
      <c r="BN72">
        <v>235.41</v>
      </c>
      <c r="BO72">
        <v>235.41</v>
      </c>
      <c r="BQ72" t="s">
        <v>369</v>
      </c>
      <c r="BR72" t="s">
        <v>82</v>
      </c>
      <c r="BS72" s="3">
        <v>45993</v>
      </c>
      <c r="BT72" s="4">
        <v>0.4375</v>
      </c>
      <c r="BU72" t="s">
        <v>370</v>
      </c>
      <c r="BV72" t="s">
        <v>84</v>
      </c>
      <c r="BY72">
        <v>9576</v>
      </c>
      <c r="CA72">
        <v>8510125994083</v>
      </c>
      <c r="CC72" t="s">
        <v>367</v>
      </c>
      <c r="CD72">
        <v>1911</v>
      </c>
      <c r="CE72" t="s">
        <v>86</v>
      </c>
      <c r="CF72" s="3">
        <v>45993</v>
      </c>
      <c r="CI72">
        <v>1</v>
      </c>
      <c r="CJ72">
        <v>1</v>
      </c>
      <c r="CK72">
        <v>23</v>
      </c>
      <c r="CL72" t="s">
        <v>87</v>
      </c>
    </row>
    <row r="73" spans="1:90" x14ac:dyDescent="0.3">
      <c r="A73" t="s">
        <v>72</v>
      </c>
      <c r="B73" t="s">
        <v>73</v>
      </c>
      <c r="C73" t="s">
        <v>74</v>
      </c>
      <c r="E73" t="str">
        <f>"080069581251"</f>
        <v>080069581251</v>
      </c>
      <c r="F73" s="3">
        <v>45992</v>
      </c>
      <c r="G73">
        <v>202609</v>
      </c>
      <c r="H73" t="s">
        <v>75</v>
      </c>
      <c r="I73" t="s">
        <v>76</v>
      </c>
      <c r="J73" t="s">
        <v>77</v>
      </c>
      <c r="K73" t="s">
        <v>78</v>
      </c>
      <c r="L73" t="s">
        <v>128</v>
      </c>
      <c r="M73" t="s">
        <v>129</v>
      </c>
      <c r="N73" t="s">
        <v>183</v>
      </c>
      <c r="O73" t="s">
        <v>89</v>
      </c>
      <c r="P73" t="str">
        <f>"4170071290                    "</f>
        <v xml:space="preserve">4170071290                    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22.24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1</v>
      </c>
      <c r="BI73">
        <v>2</v>
      </c>
      <c r="BJ73">
        <v>1.1000000000000001</v>
      </c>
      <c r="BK73">
        <v>2</v>
      </c>
      <c r="BL73">
        <v>72.78</v>
      </c>
      <c r="BM73">
        <v>10.92</v>
      </c>
      <c r="BN73">
        <v>83.7</v>
      </c>
      <c r="BO73">
        <v>83.7</v>
      </c>
      <c r="BQ73" t="s">
        <v>184</v>
      </c>
      <c r="BR73" t="s">
        <v>82</v>
      </c>
      <c r="BS73" s="3">
        <v>45993</v>
      </c>
      <c r="BT73" s="4">
        <v>0.6381944444444444</v>
      </c>
      <c r="BU73" t="s">
        <v>185</v>
      </c>
      <c r="BV73" t="s">
        <v>87</v>
      </c>
      <c r="BW73" t="s">
        <v>186</v>
      </c>
      <c r="BX73" t="s">
        <v>187</v>
      </c>
      <c r="BY73">
        <v>5320</v>
      </c>
      <c r="CA73" t="s">
        <v>188</v>
      </c>
      <c r="CC73" t="s">
        <v>129</v>
      </c>
      <c r="CD73">
        <v>5200</v>
      </c>
      <c r="CE73" t="s">
        <v>86</v>
      </c>
      <c r="CF73" s="3">
        <v>45994</v>
      </c>
      <c r="CI73">
        <v>1</v>
      </c>
      <c r="CJ73">
        <v>1</v>
      </c>
      <c r="CK73">
        <v>21</v>
      </c>
      <c r="CL73" t="s">
        <v>87</v>
      </c>
    </row>
    <row r="74" spans="1:90" x14ac:dyDescent="0.3">
      <c r="A74" t="s">
        <v>72</v>
      </c>
      <c r="B74" t="s">
        <v>73</v>
      </c>
      <c r="C74" t="s">
        <v>74</v>
      </c>
      <c r="E74" t="str">
        <f>"080069581332"</f>
        <v>080069581332</v>
      </c>
      <c r="F74" s="3">
        <v>45992</v>
      </c>
      <c r="G74">
        <v>202609</v>
      </c>
      <c r="H74" t="s">
        <v>75</v>
      </c>
      <c r="I74" t="s">
        <v>76</v>
      </c>
      <c r="J74" t="s">
        <v>77</v>
      </c>
      <c r="K74" t="s">
        <v>78</v>
      </c>
      <c r="L74" t="s">
        <v>371</v>
      </c>
      <c r="M74" t="s">
        <v>372</v>
      </c>
      <c r="N74" t="s">
        <v>130</v>
      </c>
      <c r="O74" t="s">
        <v>89</v>
      </c>
      <c r="P74" t="str">
        <f>"4170071213                    "</f>
        <v xml:space="preserve">4170071213                    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22.24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1</v>
      </c>
      <c r="BI74">
        <v>2</v>
      </c>
      <c r="BJ74">
        <v>1.9</v>
      </c>
      <c r="BK74">
        <v>2</v>
      </c>
      <c r="BL74">
        <v>72.78</v>
      </c>
      <c r="BM74">
        <v>10.92</v>
      </c>
      <c r="BN74">
        <v>83.7</v>
      </c>
      <c r="BO74">
        <v>83.7</v>
      </c>
      <c r="BQ74" t="s">
        <v>131</v>
      </c>
      <c r="BR74" t="s">
        <v>82</v>
      </c>
      <c r="BS74" s="3">
        <v>45994</v>
      </c>
      <c r="BT74" s="4">
        <v>0.5083333333333333</v>
      </c>
      <c r="BU74" t="s">
        <v>373</v>
      </c>
      <c r="BV74" t="s">
        <v>87</v>
      </c>
      <c r="BW74" t="s">
        <v>105</v>
      </c>
      <c r="BX74" t="s">
        <v>106</v>
      </c>
      <c r="BY74">
        <v>9576</v>
      </c>
      <c r="CC74" t="s">
        <v>372</v>
      </c>
      <c r="CD74">
        <v>4126</v>
      </c>
      <c r="CE74" t="s">
        <v>86</v>
      </c>
      <c r="CF74" s="3">
        <v>45995</v>
      </c>
      <c r="CI74">
        <v>1</v>
      </c>
      <c r="CJ74">
        <v>2</v>
      </c>
      <c r="CK74">
        <v>21</v>
      </c>
      <c r="CL74" t="s">
        <v>87</v>
      </c>
    </row>
    <row r="75" spans="1:90" x14ac:dyDescent="0.3">
      <c r="A75" t="s">
        <v>72</v>
      </c>
      <c r="B75" t="s">
        <v>73</v>
      </c>
      <c r="C75" t="s">
        <v>74</v>
      </c>
      <c r="E75" t="str">
        <f>"080069581438"</f>
        <v>080069581438</v>
      </c>
      <c r="F75" s="3">
        <v>45992</v>
      </c>
      <c r="G75">
        <v>202609</v>
      </c>
      <c r="H75" t="s">
        <v>75</v>
      </c>
      <c r="I75" t="s">
        <v>76</v>
      </c>
      <c r="J75" t="s">
        <v>77</v>
      </c>
      <c r="K75" t="s">
        <v>78</v>
      </c>
      <c r="L75" t="s">
        <v>75</v>
      </c>
      <c r="M75" t="s">
        <v>76</v>
      </c>
      <c r="N75" t="s">
        <v>328</v>
      </c>
      <c r="O75" t="s">
        <v>89</v>
      </c>
      <c r="P75" t="str">
        <f>"4170071225                    "</f>
        <v xml:space="preserve">4170071225                    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17.37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2</v>
      </c>
      <c r="BI75">
        <v>6</v>
      </c>
      <c r="BJ75">
        <v>6.7</v>
      </c>
      <c r="BK75">
        <v>7</v>
      </c>
      <c r="BL75">
        <v>56.85</v>
      </c>
      <c r="BM75">
        <v>8.5299999999999994</v>
      </c>
      <c r="BN75">
        <v>65.38</v>
      </c>
      <c r="BO75">
        <v>65.38</v>
      </c>
      <c r="BQ75" t="s">
        <v>329</v>
      </c>
      <c r="BR75" t="s">
        <v>82</v>
      </c>
      <c r="BS75" s="3">
        <v>45993</v>
      </c>
      <c r="BT75" s="4">
        <v>0.39027777777777778</v>
      </c>
      <c r="BU75" t="s">
        <v>341</v>
      </c>
      <c r="BV75" t="s">
        <v>84</v>
      </c>
      <c r="BY75">
        <v>33534</v>
      </c>
      <c r="CA75" t="s">
        <v>331</v>
      </c>
      <c r="CC75" t="s">
        <v>76</v>
      </c>
      <c r="CD75">
        <v>1645</v>
      </c>
      <c r="CE75" t="s">
        <v>86</v>
      </c>
      <c r="CF75" s="3">
        <v>45993</v>
      </c>
      <c r="CI75">
        <v>1</v>
      </c>
      <c r="CJ75">
        <v>1</v>
      </c>
      <c r="CK75">
        <v>22</v>
      </c>
      <c r="CL75" t="s">
        <v>87</v>
      </c>
    </row>
    <row r="76" spans="1:90" x14ac:dyDescent="0.3">
      <c r="A76" t="s">
        <v>72</v>
      </c>
      <c r="B76" t="s">
        <v>73</v>
      </c>
      <c r="C76" t="s">
        <v>74</v>
      </c>
      <c r="E76" t="str">
        <f>"080069581517"</f>
        <v>080069581517</v>
      </c>
      <c r="F76" s="3">
        <v>45992</v>
      </c>
      <c r="G76">
        <v>202609</v>
      </c>
      <c r="H76" t="s">
        <v>75</v>
      </c>
      <c r="I76" t="s">
        <v>76</v>
      </c>
      <c r="J76" t="s">
        <v>77</v>
      </c>
      <c r="K76" t="s">
        <v>78</v>
      </c>
      <c r="L76" t="s">
        <v>148</v>
      </c>
      <c r="M76" t="s">
        <v>149</v>
      </c>
      <c r="N76" t="s">
        <v>150</v>
      </c>
      <c r="O76" t="s">
        <v>89</v>
      </c>
      <c r="P76" t="str">
        <f>"4170071303                    "</f>
        <v xml:space="preserve">4170071303                    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43.09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1</v>
      </c>
      <c r="BI76">
        <v>1</v>
      </c>
      <c r="BJ76">
        <v>1.8</v>
      </c>
      <c r="BK76">
        <v>2</v>
      </c>
      <c r="BL76">
        <v>141.02000000000001</v>
      </c>
      <c r="BM76">
        <v>21.15</v>
      </c>
      <c r="BN76">
        <v>162.16999999999999</v>
      </c>
      <c r="BO76">
        <v>162.16999999999999</v>
      </c>
      <c r="BQ76" t="s">
        <v>151</v>
      </c>
      <c r="BR76" t="s">
        <v>82</v>
      </c>
      <c r="BS76" s="3">
        <v>45994</v>
      </c>
      <c r="BT76" s="4">
        <v>0.49722222222222223</v>
      </c>
      <c r="BU76" t="s">
        <v>152</v>
      </c>
      <c r="BV76" t="s">
        <v>87</v>
      </c>
      <c r="BW76" t="s">
        <v>153</v>
      </c>
      <c r="BX76" t="s">
        <v>154</v>
      </c>
      <c r="BY76">
        <v>8816</v>
      </c>
      <c r="CA76" t="s">
        <v>155</v>
      </c>
      <c r="CC76" t="s">
        <v>149</v>
      </c>
      <c r="CD76">
        <v>7300</v>
      </c>
      <c r="CE76" t="s">
        <v>86</v>
      </c>
      <c r="CF76" s="3">
        <v>45995</v>
      </c>
      <c r="CI76">
        <v>1</v>
      </c>
      <c r="CJ76">
        <v>2</v>
      </c>
      <c r="CK76">
        <v>23</v>
      </c>
      <c r="CL76" t="s">
        <v>87</v>
      </c>
    </row>
    <row r="77" spans="1:90" x14ac:dyDescent="0.3">
      <c r="A77" t="s">
        <v>72</v>
      </c>
      <c r="B77" t="s">
        <v>73</v>
      </c>
      <c r="C77" t="s">
        <v>74</v>
      </c>
      <c r="E77" t="str">
        <f>"080069581555"</f>
        <v>080069581555</v>
      </c>
      <c r="F77" s="3">
        <v>45992</v>
      </c>
      <c r="G77">
        <v>202609</v>
      </c>
      <c r="H77" t="s">
        <v>75</v>
      </c>
      <c r="I77" t="s">
        <v>76</v>
      </c>
      <c r="J77" t="s">
        <v>77</v>
      </c>
      <c r="K77" t="s">
        <v>78</v>
      </c>
      <c r="L77" t="s">
        <v>189</v>
      </c>
      <c r="M77" t="s">
        <v>190</v>
      </c>
      <c r="N77" t="s">
        <v>308</v>
      </c>
      <c r="O77" t="s">
        <v>89</v>
      </c>
      <c r="P77" t="str">
        <f>"4170071232                    "</f>
        <v xml:space="preserve">4170071232                    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72.25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17.41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1</v>
      </c>
      <c r="BI77">
        <v>4</v>
      </c>
      <c r="BJ77">
        <v>6.5</v>
      </c>
      <c r="BK77">
        <v>6.5</v>
      </c>
      <c r="BL77">
        <v>253.87</v>
      </c>
      <c r="BM77">
        <v>38.08</v>
      </c>
      <c r="BN77">
        <v>291.95</v>
      </c>
      <c r="BO77">
        <v>291.95</v>
      </c>
      <c r="BQ77" t="s">
        <v>309</v>
      </c>
      <c r="BR77" t="s">
        <v>82</v>
      </c>
      <c r="BS77" s="3">
        <v>45994</v>
      </c>
      <c r="BT77" s="4">
        <v>0.4236111111111111</v>
      </c>
      <c r="BU77" t="s">
        <v>310</v>
      </c>
      <c r="BV77" t="s">
        <v>87</v>
      </c>
      <c r="BY77">
        <v>32256</v>
      </c>
      <c r="BZ77" t="s">
        <v>30</v>
      </c>
      <c r="CA77" t="s">
        <v>311</v>
      </c>
      <c r="CC77" t="s">
        <v>190</v>
      </c>
      <c r="CD77">
        <v>3699</v>
      </c>
      <c r="CE77" t="s">
        <v>229</v>
      </c>
      <c r="CF77" s="3">
        <v>45995</v>
      </c>
      <c r="CI77">
        <v>1</v>
      </c>
      <c r="CJ77">
        <v>2</v>
      </c>
      <c r="CK77">
        <v>21</v>
      </c>
      <c r="CL77" t="s">
        <v>87</v>
      </c>
    </row>
    <row r="78" spans="1:90" x14ac:dyDescent="0.3">
      <c r="A78" t="s">
        <v>72</v>
      </c>
      <c r="B78" t="s">
        <v>73</v>
      </c>
      <c r="C78" t="s">
        <v>74</v>
      </c>
      <c r="E78" t="str">
        <f>"080069581593"</f>
        <v>080069581593</v>
      </c>
      <c r="F78" s="3">
        <v>45992</v>
      </c>
      <c r="G78">
        <v>202609</v>
      </c>
      <c r="H78" t="s">
        <v>75</v>
      </c>
      <c r="I78" t="s">
        <v>76</v>
      </c>
      <c r="J78" t="s">
        <v>77</v>
      </c>
      <c r="K78" t="s">
        <v>78</v>
      </c>
      <c r="L78" t="s">
        <v>374</v>
      </c>
      <c r="M78" t="s">
        <v>375</v>
      </c>
      <c r="N78" t="s">
        <v>376</v>
      </c>
      <c r="O78" t="s">
        <v>89</v>
      </c>
      <c r="P78" t="str">
        <f>"4170071316                    "</f>
        <v xml:space="preserve">4170071316                    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61.14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1</v>
      </c>
      <c r="BI78">
        <v>5</v>
      </c>
      <c r="BJ78">
        <v>5.5</v>
      </c>
      <c r="BK78">
        <v>5.5</v>
      </c>
      <c r="BL78">
        <v>200.09</v>
      </c>
      <c r="BM78">
        <v>30.01</v>
      </c>
      <c r="BN78">
        <v>230.1</v>
      </c>
      <c r="BO78">
        <v>230.1</v>
      </c>
      <c r="BQ78" t="s">
        <v>377</v>
      </c>
      <c r="BR78" t="s">
        <v>82</v>
      </c>
      <c r="BS78" s="3">
        <v>45993</v>
      </c>
      <c r="BT78" s="4">
        <v>0.45833333333333331</v>
      </c>
      <c r="BU78" t="s">
        <v>378</v>
      </c>
      <c r="BV78" t="s">
        <v>84</v>
      </c>
      <c r="BY78">
        <v>27324</v>
      </c>
      <c r="CC78" t="s">
        <v>375</v>
      </c>
      <c r="CD78">
        <v>7600</v>
      </c>
      <c r="CE78" t="s">
        <v>93</v>
      </c>
      <c r="CF78" s="3">
        <v>45994</v>
      </c>
      <c r="CI78">
        <v>1</v>
      </c>
      <c r="CJ78">
        <v>1</v>
      </c>
      <c r="CK78">
        <v>21</v>
      </c>
      <c r="CL78" t="s">
        <v>87</v>
      </c>
    </row>
    <row r="79" spans="1:90" x14ac:dyDescent="0.3">
      <c r="A79" t="s">
        <v>72</v>
      </c>
      <c r="B79" t="s">
        <v>73</v>
      </c>
      <c r="C79" t="s">
        <v>74</v>
      </c>
      <c r="E79" t="str">
        <f>"080069581608"</f>
        <v>080069581608</v>
      </c>
      <c r="F79" s="3">
        <v>45992</v>
      </c>
      <c r="G79">
        <v>202609</v>
      </c>
      <c r="H79" t="s">
        <v>75</v>
      </c>
      <c r="I79" t="s">
        <v>76</v>
      </c>
      <c r="J79" t="s">
        <v>77</v>
      </c>
      <c r="K79" t="s">
        <v>78</v>
      </c>
      <c r="L79" t="s">
        <v>141</v>
      </c>
      <c r="M79" t="s">
        <v>142</v>
      </c>
      <c r="N79" t="s">
        <v>214</v>
      </c>
      <c r="O79" t="s">
        <v>89</v>
      </c>
      <c r="P79" t="str">
        <f>"4170071137                    "</f>
        <v xml:space="preserve">4170071137                    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22.24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1</v>
      </c>
      <c r="BI79">
        <v>1</v>
      </c>
      <c r="BJ79">
        <v>1.1000000000000001</v>
      </c>
      <c r="BK79">
        <v>1.5</v>
      </c>
      <c r="BL79">
        <v>72.78</v>
      </c>
      <c r="BM79">
        <v>10.92</v>
      </c>
      <c r="BN79">
        <v>83.7</v>
      </c>
      <c r="BO79">
        <v>83.7</v>
      </c>
      <c r="BQ79" t="s">
        <v>215</v>
      </c>
      <c r="BR79" t="s">
        <v>82</v>
      </c>
      <c r="BS79" s="3">
        <v>45993</v>
      </c>
      <c r="BT79" s="4">
        <v>0.38958333333333334</v>
      </c>
      <c r="BU79" t="s">
        <v>223</v>
      </c>
      <c r="BV79" t="s">
        <v>84</v>
      </c>
      <c r="BY79">
        <v>5320</v>
      </c>
      <c r="BZ79" t="s">
        <v>125</v>
      </c>
      <c r="CA79" t="s">
        <v>224</v>
      </c>
      <c r="CC79" t="s">
        <v>142</v>
      </c>
      <c r="CD79">
        <v>6001</v>
      </c>
      <c r="CE79" t="s">
        <v>147</v>
      </c>
      <c r="CF79" s="3">
        <v>45993</v>
      </c>
      <c r="CI79">
        <v>1</v>
      </c>
      <c r="CJ79">
        <v>1</v>
      </c>
      <c r="CK79">
        <v>21</v>
      </c>
      <c r="CL79" t="s">
        <v>87</v>
      </c>
    </row>
    <row r="80" spans="1:90" x14ac:dyDescent="0.3">
      <c r="A80" t="s">
        <v>72</v>
      </c>
      <c r="B80" t="s">
        <v>73</v>
      </c>
      <c r="C80" t="s">
        <v>74</v>
      </c>
      <c r="E80" t="str">
        <f>"080069582042"</f>
        <v>080069582042</v>
      </c>
      <c r="F80" s="3">
        <v>45992</v>
      </c>
      <c r="G80">
        <v>202609</v>
      </c>
      <c r="H80" t="s">
        <v>75</v>
      </c>
      <c r="I80" t="s">
        <v>76</v>
      </c>
      <c r="J80" t="s">
        <v>77</v>
      </c>
      <c r="K80" t="s">
        <v>78</v>
      </c>
      <c r="L80" t="s">
        <v>141</v>
      </c>
      <c r="M80" t="s">
        <v>142</v>
      </c>
      <c r="N80" t="s">
        <v>379</v>
      </c>
      <c r="O80" t="s">
        <v>89</v>
      </c>
      <c r="P80" t="str">
        <f>"4170071219                    "</f>
        <v xml:space="preserve">4170071219                    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22.24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1</v>
      </c>
      <c r="BI80">
        <v>1</v>
      </c>
      <c r="BJ80">
        <v>1.9</v>
      </c>
      <c r="BK80">
        <v>2</v>
      </c>
      <c r="BL80">
        <v>72.78</v>
      </c>
      <c r="BM80">
        <v>10.92</v>
      </c>
      <c r="BN80">
        <v>83.7</v>
      </c>
      <c r="BO80">
        <v>83.7</v>
      </c>
      <c r="BQ80" t="s">
        <v>380</v>
      </c>
      <c r="BR80" t="s">
        <v>82</v>
      </c>
      <c r="BS80" s="3">
        <v>45993</v>
      </c>
      <c r="BT80" s="4">
        <v>0.41666666666666669</v>
      </c>
      <c r="BU80" t="s">
        <v>381</v>
      </c>
      <c r="BV80" t="s">
        <v>84</v>
      </c>
      <c r="BY80">
        <v>9600</v>
      </c>
      <c r="BZ80" t="s">
        <v>125</v>
      </c>
      <c r="CA80" t="s">
        <v>382</v>
      </c>
      <c r="CC80" t="s">
        <v>142</v>
      </c>
      <c r="CD80">
        <v>6001</v>
      </c>
      <c r="CE80" t="s">
        <v>147</v>
      </c>
      <c r="CF80" s="3">
        <v>45993</v>
      </c>
      <c r="CI80">
        <v>1</v>
      </c>
      <c r="CJ80">
        <v>1</v>
      </c>
      <c r="CK80">
        <v>21</v>
      </c>
      <c r="CL80" t="s">
        <v>87</v>
      </c>
    </row>
    <row r="81" spans="1:90" x14ac:dyDescent="0.3">
      <c r="A81" t="s">
        <v>72</v>
      </c>
      <c r="B81" t="s">
        <v>73</v>
      </c>
      <c r="C81" t="s">
        <v>74</v>
      </c>
      <c r="E81" t="str">
        <f>"080069582263"</f>
        <v>080069582263</v>
      </c>
      <c r="F81" s="3">
        <v>45992</v>
      </c>
      <c r="G81">
        <v>202609</v>
      </c>
      <c r="H81" t="s">
        <v>75</v>
      </c>
      <c r="I81" t="s">
        <v>76</v>
      </c>
      <c r="J81" t="s">
        <v>77</v>
      </c>
      <c r="K81" t="s">
        <v>78</v>
      </c>
      <c r="L81" t="s">
        <v>128</v>
      </c>
      <c r="M81" t="s">
        <v>129</v>
      </c>
      <c r="N81" t="s">
        <v>383</v>
      </c>
      <c r="O81" t="s">
        <v>89</v>
      </c>
      <c r="P81" t="str">
        <f>"4170071222                    "</f>
        <v xml:space="preserve">4170071222                    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77.81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1</v>
      </c>
      <c r="BI81">
        <v>7</v>
      </c>
      <c r="BJ81">
        <v>1.9</v>
      </c>
      <c r="BK81">
        <v>7</v>
      </c>
      <c r="BL81">
        <v>254.65</v>
      </c>
      <c r="BM81">
        <v>38.200000000000003</v>
      </c>
      <c r="BN81">
        <v>292.85000000000002</v>
      </c>
      <c r="BO81">
        <v>292.85000000000002</v>
      </c>
      <c r="BQ81" t="s">
        <v>384</v>
      </c>
      <c r="BR81" t="s">
        <v>82</v>
      </c>
      <c r="BS81" s="3">
        <v>45993</v>
      </c>
      <c r="BT81" s="4">
        <v>0.61944444444444446</v>
      </c>
      <c r="BU81" t="s">
        <v>359</v>
      </c>
      <c r="BV81" t="s">
        <v>87</v>
      </c>
      <c r="BW81" t="s">
        <v>186</v>
      </c>
      <c r="BX81" t="s">
        <v>187</v>
      </c>
      <c r="BY81">
        <v>9600</v>
      </c>
      <c r="CA81" t="s">
        <v>188</v>
      </c>
      <c r="CC81" t="s">
        <v>129</v>
      </c>
      <c r="CD81">
        <v>5201</v>
      </c>
      <c r="CE81" t="s">
        <v>86</v>
      </c>
      <c r="CF81" s="3">
        <v>45994</v>
      </c>
      <c r="CI81">
        <v>1</v>
      </c>
      <c r="CJ81">
        <v>1</v>
      </c>
      <c r="CK81">
        <v>21</v>
      </c>
      <c r="CL81" t="s">
        <v>87</v>
      </c>
    </row>
    <row r="82" spans="1:90" x14ac:dyDescent="0.3">
      <c r="A82" t="s">
        <v>72</v>
      </c>
      <c r="B82" t="s">
        <v>73</v>
      </c>
      <c r="C82" t="s">
        <v>74</v>
      </c>
      <c r="E82" t="str">
        <f>"080069582317"</f>
        <v>080069582317</v>
      </c>
      <c r="F82" s="3">
        <v>45992</v>
      </c>
      <c r="G82">
        <v>202609</v>
      </c>
      <c r="H82" t="s">
        <v>75</v>
      </c>
      <c r="I82" t="s">
        <v>76</v>
      </c>
      <c r="J82" t="s">
        <v>77</v>
      </c>
      <c r="K82" t="s">
        <v>78</v>
      </c>
      <c r="L82" t="s">
        <v>75</v>
      </c>
      <c r="M82" t="s">
        <v>76</v>
      </c>
      <c r="N82" t="s">
        <v>385</v>
      </c>
      <c r="O82" t="s">
        <v>89</v>
      </c>
      <c r="P82" t="str">
        <f>"4170071214                    "</f>
        <v xml:space="preserve">4170071214                    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17.37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1</v>
      </c>
      <c r="BI82">
        <v>3</v>
      </c>
      <c r="BJ82">
        <v>1.1000000000000001</v>
      </c>
      <c r="BK82">
        <v>3</v>
      </c>
      <c r="BL82">
        <v>56.85</v>
      </c>
      <c r="BM82">
        <v>8.5299999999999994</v>
      </c>
      <c r="BN82">
        <v>65.38</v>
      </c>
      <c r="BO82">
        <v>65.38</v>
      </c>
      <c r="BQ82" t="s">
        <v>386</v>
      </c>
      <c r="BR82" t="s">
        <v>82</v>
      </c>
      <c r="BS82" s="3">
        <v>45993</v>
      </c>
      <c r="BT82" s="4">
        <v>0.34375</v>
      </c>
      <c r="BU82" t="s">
        <v>387</v>
      </c>
      <c r="BV82" t="s">
        <v>84</v>
      </c>
      <c r="BY82">
        <v>5510</v>
      </c>
      <c r="CA82" t="s">
        <v>388</v>
      </c>
      <c r="CC82" t="s">
        <v>76</v>
      </c>
      <c r="CD82">
        <v>1601</v>
      </c>
      <c r="CE82" t="s">
        <v>86</v>
      </c>
      <c r="CF82" s="3">
        <v>45994</v>
      </c>
      <c r="CI82">
        <v>1</v>
      </c>
      <c r="CJ82">
        <v>1</v>
      </c>
      <c r="CK82">
        <v>22</v>
      </c>
      <c r="CL82" t="s">
        <v>87</v>
      </c>
    </row>
    <row r="83" spans="1:90" x14ac:dyDescent="0.3">
      <c r="A83" t="s">
        <v>72</v>
      </c>
      <c r="B83" t="s">
        <v>73</v>
      </c>
      <c r="C83" t="s">
        <v>74</v>
      </c>
      <c r="E83" t="str">
        <f>"080069582370"</f>
        <v>080069582370</v>
      </c>
      <c r="F83" s="3">
        <v>45992</v>
      </c>
      <c r="G83">
        <v>202609</v>
      </c>
      <c r="H83" t="s">
        <v>75</v>
      </c>
      <c r="I83" t="s">
        <v>76</v>
      </c>
      <c r="J83" t="s">
        <v>77</v>
      </c>
      <c r="K83" t="s">
        <v>78</v>
      </c>
      <c r="L83" t="s">
        <v>389</v>
      </c>
      <c r="M83" t="s">
        <v>390</v>
      </c>
      <c r="N83" t="s">
        <v>391</v>
      </c>
      <c r="O83" t="s">
        <v>89</v>
      </c>
      <c r="P83" t="str">
        <f>"4170071243                    "</f>
        <v xml:space="preserve">4170071243                    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101.46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1</v>
      </c>
      <c r="BI83">
        <v>4.7</v>
      </c>
      <c r="BJ83">
        <v>3.9</v>
      </c>
      <c r="BK83">
        <v>5</v>
      </c>
      <c r="BL83">
        <v>332.05</v>
      </c>
      <c r="BM83">
        <v>49.81</v>
      </c>
      <c r="BN83">
        <v>381.86</v>
      </c>
      <c r="BO83">
        <v>381.86</v>
      </c>
      <c r="BQ83" t="s">
        <v>392</v>
      </c>
      <c r="BR83" t="s">
        <v>82</v>
      </c>
      <c r="BS83" s="3">
        <v>45993</v>
      </c>
      <c r="BT83" s="4">
        <v>0.39652777777777776</v>
      </c>
      <c r="BU83" t="s">
        <v>393</v>
      </c>
      <c r="BV83" t="s">
        <v>84</v>
      </c>
      <c r="BY83">
        <v>19691.099999999999</v>
      </c>
      <c r="CA83" t="s">
        <v>394</v>
      </c>
      <c r="CC83" t="s">
        <v>390</v>
      </c>
      <c r="CD83" s="5" t="s">
        <v>395</v>
      </c>
      <c r="CE83" t="s">
        <v>86</v>
      </c>
      <c r="CF83" s="3">
        <v>45994</v>
      </c>
      <c r="CI83">
        <v>1</v>
      </c>
      <c r="CJ83">
        <v>1</v>
      </c>
      <c r="CK83">
        <v>23</v>
      </c>
      <c r="CL83" t="s">
        <v>87</v>
      </c>
    </row>
    <row r="84" spans="1:90" x14ac:dyDescent="0.3">
      <c r="A84" t="s">
        <v>72</v>
      </c>
      <c r="B84" t="s">
        <v>73</v>
      </c>
      <c r="C84" t="s">
        <v>74</v>
      </c>
      <c r="E84" t="str">
        <f>"080069583503"</f>
        <v>080069583503</v>
      </c>
      <c r="F84" s="3">
        <v>45992</v>
      </c>
      <c r="G84">
        <v>202609</v>
      </c>
      <c r="H84" t="s">
        <v>75</v>
      </c>
      <c r="I84" t="s">
        <v>76</v>
      </c>
      <c r="J84" t="s">
        <v>77</v>
      </c>
      <c r="K84" t="s">
        <v>78</v>
      </c>
      <c r="L84" t="s">
        <v>272</v>
      </c>
      <c r="M84" t="s">
        <v>273</v>
      </c>
      <c r="N84" t="s">
        <v>274</v>
      </c>
      <c r="O84" t="s">
        <v>80</v>
      </c>
      <c r="P84" t="str">
        <f>"4170071315                    "</f>
        <v xml:space="preserve">4170071315                    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71.45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1</v>
      </c>
      <c r="BI84">
        <v>11</v>
      </c>
      <c r="BJ84">
        <v>30.4</v>
      </c>
      <c r="BK84">
        <v>31</v>
      </c>
      <c r="BL84">
        <v>239.93</v>
      </c>
      <c r="BM84">
        <v>35.99</v>
      </c>
      <c r="BN84">
        <v>275.92</v>
      </c>
      <c r="BO84">
        <v>275.92</v>
      </c>
      <c r="BQ84" t="s">
        <v>275</v>
      </c>
      <c r="BR84" t="s">
        <v>82</v>
      </c>
      <c r="BS84" s="3">
        <v>45994</v>
      </c>
      <c r="BT84" s="4">
        <v>0.4826388888888889</v>
      </c>
      <c r="BU84" t="s">
        <v>276</v>
      </c>
      <c r="BV84" t="s">
        <v>84</v>
      </c>
      <c r="BY84">
        <v>151800</v>
      </c>
      <c r="CA84" t="s">
        <v>277</v>
      </c>
      <c r="CC84" t="s">
        <v>273</v>
      </c>
      <c r="CD84">
        <v>6220</v>
      </c>
      <c r="CE84" t="s">
        <v>86</v>
      </c>
      <c r="CF84" s="3">
        <v>45994</v>
      </c>
      <c r="CI84">
        <v>3</v>
      </c>
      <c r="CJ84">
        <v>2</v>
      </c>
      <c r="CK84">
        <v>41</v>
      </c>
      <c r="CL84" t="s">
        <v>87</v>
      </c>
    </row>
    <row r="85" spans="1:90" x14ac:dyDescent="0.3">
      <c r="A85" t="s">
        <v>72</v>
      </c>
      <c r="B85" t="s">
        <v>73</v>
      </c>
      <c r="C85" t="s">
        <v>74</v>
      </c>
      <c r="E85" t="str">
        <f>"080069583535"</f>
        <v>080069583535</v>
      </c>
      <c r="F85" s="3">
        <v>45992</v>
      </c>
      <c r="G85">
        <v>202609</v>
      </c>
      <c r="H85" t="s">
        <v>75</v>
      </c>
      <c r="I85" t="s">
        <v>76</v>
      </c>
      <c r="J85" t="s">
        <v>77</v>
      </c>
      <c r="K85" t="s">
        <v>78</v>
      </c>
      <c r="L85" t="s">
        <v>100</v>
      </c>
      <c r="M85" t="s">
        <v>101</v>
      </c>
      <c r="N85" t="s">
        <v>396</v>
      </c>
      <c r="O85" t="s">
        <v>89</v>
      </c>
      <c r="P85" t="str">
        <f>"4170071318                    "</f>
        <v xml:space="preserve">4170071318                    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22.24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1</v>
      </c>
      <c r="BI85">
        <v>1</v>
      </c>
      <c r="BJ85">
        <v>0.2</v>
      </c>
      <c r="BK85">
        <v>1</v>
      </c>
      <c r="BL85">
        <v>72.78</v>
      </c>
      <c r="BM85">
        <v>10.92</v>
      </c>
      <c r="BN85">
        <v>83.7</v>
      </c>
      <c r="BO85">
        <v>83.7</v>
      </c>
      <c r="BQ85" t="s">
        <v>397</v>
      </c>
      <c r="BR85" t="s">
        <v>82</v>
      </c>
      <c r="BS85" s="3">
        <v>45993</v>
      </c>
      <c r="BT85" s="4">
        <v>0.4375</v>
      </c>
      <c r="BU85" t="s">
        <v>251</v>
      </c>
      <c r="BV85" t="s">
        <v>84</v>
      </c>
      <c r="BY85">
        <v>1200</v>
      </c>
      <c r="CC85" t="s">
        <v>101</v>
      </c>
      <c r="CD85">
        <v>4072</v>
      </c>
      <c r="CE85" t="s">
        <v>134</v>
      </c>
      <c r="CF85" s="3">
        <v>45994</v>
      </c>
      <c r="CI85">
        <v>1</v>
      </c>
      <c r="CJ85">
        <v>1</v>
      </c>
      <c r="CK85">
        <v>21</v>
      </c>
      <c r="CL85" t="s">
        <v>87</v>
      </c>
    </row>
    <row r="86" spans="1:90" x14ac:dyDescent="0.3">
      <c r="A86" t="s">
        <v>72</v>
      </c>
      <c r="B86" t="s">
        <v>73</v>
      </c>
      <c r="C86" t="s">
        <v>74</v>
      </c>
      <c r="E86" t="str">
        <f>"080069583581"</f>
        <v>080069583581</v>
      </c>
      <c r="F86" s="3">
        <v>45992</v>
      </c>
      <c r="G86">
        <v>202609</v>
      </c>
      <c r="H86" t="s">
        <v>75</v>
      </c>
      <c r="I86" t="s">
        <v>76</v>
      </c>
      <c r="J86" t="s">
        <v>77</v>
      </c>
      <c r="K86" t="s">
        <v>78</v>
      </c>
      <c r="L86" t="s">
        <v>100</v>
      </c>
      <c r="M86" t="s">
        <v>101</v>
      </c>
      <c r="N86" t="s">
        <v>102</v>
      </c>
      <c r="O86" t="s">
        <v>89</v>
      </c>
      <c r="P86" t="str">
        <f>"4170071234                    "</f>
        <v xml:space="preserve">4170071234                    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22.24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1</v>
      </c>
      <c r="BI86">
        <v>1</v>
      </c>
      <c r="BJ86">
        <v>0.2</v>
      </c>
      <c r="BK86">
        <v>1</v>
      </c>
      <c r="BL86">
        <v>72.78</v>
      </c>
      <c r="BM86">
        <v>10.92</v>
      </c>
      <c r="BN86">
        <v>83.7</v>
      </c>
      <c r="BO86">
        <v>83.7</v>
      </c>
      <c r="BQ86" t="s">
        <v>103</v>
      </c>
      <c r="BR86" t="s">
        <v>82</v>
      </c>
      <c r="BS86" s="3">
        <v>45993</v>
      </c>
      <c r="BT86" s="4">
        <v>0.36527777777777776</v>
      </c>
      <c r="BU86" t="s">
        <v>398</v>
      </c>
      <c r="BV86" t="s">
        <v>84</v>
      </c>
      <c r="BY86">
        <v>1200</v>
      </c>
      <c r="BZ86" t="s">
        <v>125</v>
      </c>
      <c r="CA86" t="s">
        <v>107</v>
      </c>
      <c r="CC86" t="s">
        <v>101</v>
      </c>
      <c r="CD86">
        <v>4000</v>
      </c>
      <c r="CE86" t="s">
        <v>127</v>
      </c>
      <c r="CF86" s="3">
        <v>45993</v>
      </c>
      <c r="CI86">
        <v>1</v>
      </c>
      <c r="CJ86">
        <v>1</v>
      </c>
      <c r="CK86">
        <v>21</v>
      </c>
      <c r="CL86" t="s">
        <v>87</v>
      </c>
    </row>
    <row r="87" spans="1:90" x14ac:dyDescent="0.3">
      <c r="A87" t="s">
        <v>72</v>
      </c>
      <c r="B87" t="s">
        <v>73</v>
      </c>
      <c r="C87" t="s">
        <v>74</v>
      </c>
      <c r="E87" t="str">
        <f>"080069583602"</f>
        <v>080069583602</v>
      </c>
      <c r="F87" s="3">
        <v>45992</v>
      </c>
      <c r="G87">
        <v>202609</v>
      </c>
      <c r="H87" t="s">
        <v>75</v>
      </c>
      <c r="I87" t="s">
        <v>76</v>
      </c>
      <c r="J87" t="s">
        <v>77</v>
      </c>
      <c r="K87" t="s">
        <v>78</v>
      </c>
      <c r="L87" t="s">
        <v>399</v>
      </c>
      <c r="M87" t="s">
        <v>400</v>
      </c>
      <c r="N87" t="s">
        <v>401</v>
      </c>
      <c r="O87" t="s">
        <v>340</v>
      </c>
      <c r="P87" t="str">
        <f>"4170071321                    "</f>
        <v xml:space="preserve">4170071321                    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19.32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1</v>
      </c>
      <c r="BI87">
        <v>9</v>
      </c>
      <c r="BJ87">
        <v>3.4</v>
      </c>
      <c r="BK87">
        <v>9</v>
      </c>
      <c r="BL87">
        <v>63.24</v>
      </c>
      <c r="BM87">
        <v>9.49</v>
      </c>
      <c r="BN87">
        <v>72.73</v>
      </c>
      <c r="BO87">
        <v>72.73</v>
      </c>
      <c r="BQ87" t="s">
        <v>402</v>
      </c>
      <c r="BR87" t="s">
        <v>82</v>
      </c>
      <c r="BS87" s="3">
        <v>45993</v>
      </c>
      <c r="BT87" s="4">
        <v>0.4</v>
      </c>
      <c r="BU87" t="s">
        <v>403</v>
      </c>
      <c r="BV87" t="s">
        <v>84</v>
      </c>
      <c r="BY87">
        <v>16965</v>
      </c>
      <c r="BZ87" t="s">
        <v>404</v>
      </c>
      <c r="CA87" t="s">
        <v>405</v>
      </c>
      <c r="CC87" t="s">
        <v>400</v>
      </c>
      <c r="CD87">
        <v>1724</v>
      </c>
      <c r="CE87" t="s">
        <v>147</v>
      </c>
      <c r="CF87" s="3">
        <v>45993</v>
      </c>
      <c r="CI87">
        <v>1</v>
      </c>
      <c r="CJ87">
        <v>1</v>
      </c>
      <c r="CK87">
        <v>32</v>
      </c>
      <c r="CL87" t="s">
        <v>87</v>
      </c>
    </row>
    <row r="88" spans="1:90" x14ac:dyDescent="0.3">
      <c r="A88" t="s">
        <v>72</v>
      </c>
      <c r="B88" t="s">
        <v>73</v>
      </c>
      <c r="C88" t="s">
        <v>74</v>
      </c>
      <c r="E88" t="str">
        <f>"080069583654"</f>
        <v>080069583654</v>
      </c>
      <c r="F88" s="3">
        <v>45992</v>
      </c>
      <c r="G88">
        <v>202609</v>
      </c>
      <c r="H88" t="s">
        <v>75</v>
      </c>
      <c r="I88" t="s">
        <v>76</v>
      </c>
      <c r="J88" t="s">
        <v>77</v>
      </c>
      <c r="K88" t="s">
        <v>78</v>
      </c>
      <c r="L88" t="s">
        <v>100</v>
      </c>
      <c r="M88" t="s">
        <v>101</v>
      </c>
      <c r="N88" t="s">
        <v>102</v>
      </c>
      <c r="O88" t="s">
        <v>89</v>
      </c>
      <c r="P88" t="str">
        <f>"4170071254                    "</f>
        <v xml:space="preserve">4170071254                    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22.24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1</v>
      </c>
      <c r="BI88">
        <v>2</v>
      </c>
      <c r="BJ88">
        <v>1.1000000000000001</v>
      </c>
      <c r="BK88">
        <v>2</v>
      </c>
      <c r="BL88">
        <v>72.78</v>
      </c>
      <c r="BM88">
        <v>10.92</v>
      </c>
      <c r="BN88">
        <v>83.7</v>
      </c>
      <c r="BO88">
        <v>83.7</v>
      </c>
      <c r="BQ88" t="s">
        <v>103</v>
      </c>
      <c r="BR88" t="s">
        <v>82</v>
      </c>
      <c r="BS88" s="3">
        <v>45993</v>
      </c>
      <c r="BT88" s="4">
        <v>0.36527777777777776</v>
      </c>
      <c r="BU88" t="s">
        <v>398</v>
      </c>
      <c r="BV88" t="s">
        <v>84</v>
      </c>
      <c r="BY88">
        <v>5510</v>
      </c>
      <c r="BZ88" t="s">
        <v>125</v>
      </c>
      <c r="CC88" t="s">
        <v>101</v>
      </c>
      <c r="CD88">
        <v>4051</v>
      </c>
      <c r="CE88" t="s">
        <v>147</v>
      </c>
      <c r="CF88" s="3">
        <v>45993</v>
      </c>
      <c r="CI88">
        <v>1</v>
      </c>
      <c r="CJ88">
        <v>1</v>
      </c>
      <c r="CK88">
        <v>21</v>
      </c>
      <c r="CL88" t="s">
        <v>87</v>
      </c>
    </row>
    <row r="89" spans="1:90" x14ac:dyDescent="0.3">
      <c r="A89" t="s">
        <v>72</v>
      </c>
      <c r="B89" t="s">
        <v>73</v>
      </c>
      <c r="C89" t="s">
        <v>74</v>
      </c>
      <c r="E89" t="str">
        <f>"080069583650"</f>
        <v>080069583650</v>
      </c>
      <c r="F89" s="3">
        <v>45992</v>
      </c>
      <c r="G89">
        <v>202609</v>
      </c>
      <c r="H89" t="s">
        <v>75</v>
      </c>
      <c r="I89" t="s">
        <v>76</v>
      </c>
      <c r="J89" t="s">
        <v>77</v>
      </c>
      <c r="K89" t="s">
        <v>78</v>
      </c>
      <c r="L89" t="s">
        <v>176</v>
      </c>
      <c r="M89" t="s">
        <v>177</v>
      </c>
      <c r="N89" t="s">
        <v>406</v>
      </c>
      <c r="O89" t="s">
        <v>89</v>
      </c>
      <c r="P89" t="str">
        <f>"4170071236                    "</f>
        <v xml:space="preserve">4170071236                    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17.37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1</v>
      </c>
      <c r="BI89">
        <v>1</v>
      </c>
      <c r="BJ89">
        <v>0.2</v>
      </c>
      <c r="BK89">
        <v>1</v>
      </c>
      <c r="BL89">
        <v>56.85</v>
      </c>
      <c r="BM89">
        <v>8.5299999999999994</v>
      </c>
      <c r="BN89">
        <v>65.38</v>
      </c>
      <c r="BO89">
        <v>65.38</v>
      </c>
      <c r="BQ89" t="s">
        <v>407</v>
      </c>
      <c r="BR89" t="s">
        <v>82</v>
      </c>
      <c r="BS89" s="3">
        <v>45994</v>
      </c>
      <c r="BT89" s="4">
        <v>0.37569444444444444</v>
      </c>
      <c r="BU89" t="s">
        <v>408</v>
      </c>
      <c r="BV89" t="s">
        <v>87</v>
      </c>
      <c r="BW89" t="s">
        <v>174</v>
      </c>
      <c r="BX89" t="s">
        <v>198</v>
      </c>
      <c r="BY89">
        <v>1200</v>
      </c>
      <c r="CA89" t="s">
        <v>409</v>
      </c>
      <c r="CC89" t="s">
        <v>177</v>
      </c>
      <c r="CD89">
        <v>2001</v>
      </c>
      <c r="CE89" t="s">
        <v>134</v>
      </c>
      <c r="CF89" s="3">
        <v>45995</v>
      </c>
      <c r="CI89">
        <v>1</v>
      </c>
      <c r="CJ89">
        <v>2</v>
      </c>
      <c r="CK89">
        <v>22</v>
      </c>
      <c r="CL89" t="s">
        <v>87</v>
      </c>
    </row>
    <row r="90" spans="1:90" x14ac:dyDescent="0.3">
      <c r="A90" t="s">
        <v>72</v>
      </c>
      <c r="B90" t="s">
        <v>73</v>
      </c>
      <c r="C90" t="s">
        <v>74</v>
      </c>
      <c r="E90" t="str">
        <f>"080069583675"</f>
        <v>080069583675</v>
      </c>
      <c r="F90" s="3">
        <v>45992</v>
      </c>
      <c r="G90">
        <v>202609</v>
      </c>
      <c r="H90" t="s">
        <v>75</v>
      </c>
      <c r="I90" t="s">
        <v>76</v>
      </c>
      <c r="J90" t="s">
        <v>77</v>
      </c>
      <c r="K90" t="s">
        <v>78</v>
      </c>
      <c r="L90" t="s">
        <v>176</v>
      </c>
      <c r="M90" t="s">
        <v>177</v>
      </c>
      <c r="N90" t="s">
        <v>410</v>
      </c>
      <c r="O90" t="s">
        <v>89</v>
      </c>
      <c r="P90" t="str">
        <f>"4170071217                    "</f>
        <v xml:space="preserve">4170071217                    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17.37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1</v>
      </c>
      <c r="BI90">
        <v>1</v>
      </c>
      <c r="BJ90">
        <v>0.2</v>
      </c>
      <c r="BK90">
        <v>1</v>
      </c>
      <c r="BL90">
        <v>56.85</v>
      </c>
      <c r="BM90">
        <v>8.5299999999999994</v>
      </c>
      <c r="BN90">
        <v>65.38</v>
      </c>
      <c r="BO90">
        <v>65.38</v>
      </c>
      <c r="BQ90" t="s">
        <v>411</v>
      </c>
      <c r="BR90" t="s">
        <v>82</v>
      </c>
      <c r="BS90" s="3">
        <v>45994</v>
      </c>
      <c r="BT90" s="4">
        <v>0.39583333333333331</v>
      </c>
      <c r="BU90" t="s">
        <v>412</v>
      </c>
      <c r="BV90" t="s">
        <v>87</v>
      </c>
      <c r="BW90" t="s">
        <v>174</v>
      </c>
      <c r="BX90" t="s">
        <v>198</v>
      </c>
      <c r="BY90">
        <v>1200</v>
      </c>
      <c r="CA90" t="s">
        <v>413</v>
      </c>
      <c r="CC90" t="s">
        <v>177</v>
      </c>
      <c r="CD90">
        <v>2013</v>
      </c>
      <c r="CE90" t="s">
        <v>134</v>
      </c>
      <c r="CF90" s="3">
        <v>45995</v>
      </c>
      <c r="CI90">
        <v>1</v>
      </c>
      <c r="CJ90">
        <v>2</v>
      </c>
      <c r="CK90">
        <v>22</v>
      </c>
      <c r="CL90" t="s">
        <v>87</v>
      </c>
    </row>
    <row r="91" spans="1:90" x14ac:dyDescent="0.3">
      <c r="A91" t="s">
        <v>72</v>
      </c>
      <c r="B91" t="s">
        <v>73</v>
      </c>
      <c r="C91" t="s">
        <v>74</v>
      </c>
      <c r="E91" t="str">
        <f>"080069583686"</f>
        <v>080069583686</v>
      </c>
      <c r="F91" s="3">
        <v>45992</v>
      </c>
      <c r="G91">
        <v>202609</v>
      </c>
      <c r="H91" t="s">
        <v>75</v>
      </c>
      <c r="I91" t="s">
        <v>76</v>
      </c>
      <c r="J91" t="s">
        <v>77</v>
      </c>
      <c r="K91" t="s">
        <v>78</v>
      </c>
      <c r="L91" t="s">
        <v>265</v>
      </c>
      <c r="M91" t="s">
        <v>266</v>
      </c>
      <c r="N91" t="s">
        <v>414</v>
      </c>
      <c r="O91" t="s">
        <v>89</v>
      </c>
      <c r="P91" t="str">
        <f>"4170071216                    "</f>
        <v xml:space="preserve">4170071216                    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17.37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1</v>
      </c>
      <c r="BI91">
        <v>3</v>
      </c>
      <c r="BJ91">
        <v>1.8</v>
      </c>
      <c r="BK91">
        <v>3</v>
      </c>
      <c r="BL91">
        <v>56.85</v>
      </c>
      <c r="BM91">
        <v>8.5299999999999994</v>
      </c>
      <c r="BN91">
        <v>65.38</v>
      </c>
      <c r="BO91">
        <v>65.38</v>
      </c>
      <c r="BQ91" t="s">
        <v>415</v>
      </c>
      <c r="BR91" t="s">
        <v>82</v>
      </c>
      <c r="BS91" s="3">
        <v>45993</v>
      </c>
      <c r="BT91" s="4">
        <v>0.3125</v>
      </c>
      <c r="BU91" t="s">
        <v>416</v>
      </c>
      <c r="BV91" t="s">
        <v>84</v>
      </c>
      <c r="BY91">
        <v>8816</v>
      </c>
      <c r="CA91" t="s">
        <v>417</v>
      </c>
      <c r="CC91" t="s">
        <v>266</v>
      </c>
      <c r="CD91">
        <v>1459</v>
      </c>
      <c r="CE91" t="s">
        <v>86</v>
      </c>
      <c r="CF91" s="3">
        <v>45994</v>
      </c>
      <c r="CI91">
        <v>1</v>
      </c>
      <c r="CJ91">
        <v>1</v>
      </c>
      <c r="CK91">
        <v>22</v>
      </c>
      <c r="CL91" t="s">
        <v>87</v>
      </c>
    </row>
    <row r="92" spans="1:90" x14ac:dyDescent="0.3">
      <c r="A92" t="s">
        <v>72</v>
      </c>
      <c r="B92" t="s">
        <v>73</v>
      </c>
      <c r="C92" t="s">
        <v>74</v>
      </c>
      <c r="E92" t="str">
        <f>"080069583736"</f>
        <v>080069583736</v>
      </c>
      <c r="F92" s="3">
        <v>45992</v>
      </c>
      <c r="G92">
        <v>202609</v>
      </c>
      <c r="H92" t="s">
        <v>75</v>
      </c>
      <c r="I92" t="s">
        <v>76</v>
      </c>
      <c r="J92" t="s">
        <v>77</v>
      </c>
      <c r="K92" t="s">
        <v>78</v>
      </c>
      <c r="L92" t="s">
        <v>418</v>
      </c>
      <c r="M92" t="s">
        <v>419</v>
      </c>
      <c r="N92" t="s">
        <v>420</v>
      </c>
      <c r="O92" t="s">
        <v>89</v>
      </c>
      <c r="P92" t="str">
        <f>"4170071223                    "</f>
        <v xml:space="preserve">4170071223                    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43.09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1</v>
      </c>
      <c r="BI92">
        <v>1</v>
      </c>
      <c r="BJ92">
        <v>0.2</v>
      </c>
      <c r="BK92">
        <v>1</v>
      </c>
      <c r="BL92">
        <v>141.02000000000001</v>
      </c>
      <c r="BM92">
        <v>21.15</v>
      </c>
      <c r="BN92">
        <v>162.16999999999999</v>
      </c>
      <c r="BO92">
        <v>162.16999999999999</v>
      </c>
      <c r="BQ92" t="s">
        <v>421</v>
      </c>
      <c r="BR92" t="s">
        <v>82</v>
      </c>
      <c r="BS92" s="3">
        <v>45993</v>
      </c>
      <c r="BT92" s="4">
        <v>0.46041666666666664</v>
      </c>
      <c r="BU92" t="s">
        <v>422</v>
      </c>
      <c r="BV92" t="s">
        <v>84</v>
      </c>
      <c r="BY92">
        <v>1200</v>
      </c>
      <c r="CA92" t="s">
        <v>423</v>
      </c>
      <c r="CC92" t="s">
        <v>419</v>
      </c>
      <c r="CD92" s="5" t="s">
        <v>424</v>
      </c>
      <c r="CE92" t="s">
        <v>134</v>
      </c>
      <c r="CF92" s="3">
        <v>45993</v>
      </c>
      <c r="CI92">
        <v>1</v>
      </c>
      <c r="CJ92">
        <v>1</v>
      </c>
      <c r="CK92">
        <v>23</v>
      </c>
      <c r="CL92" t="s">
        <v>87</v>
      </c>
    </row>
    <row r="93" spans="1:90" x14ac:dyDescent="0.3">
      <c r="A93" t="s">
        <v>72</v>
      </c>
      <c r="B93" t="s">
        <v>73</v>
      </c>
      <c r="C93" t="s">
        <v>74</v>
      </c>
      <c r="E93" t="str">
        <f>"080069583830"</f>
        <v>080069583830</v>
      </c>
      <c r="F93" s="3">
        <v>45992</v>
      </c>
      <c r="G93">
        <v>202609</v>
      </c>
      <c r="H93" t="s">
        <v>75</v>
      </c>
      <c r="I93" t="s">
        <v>76</v>
      </c>
      <c r="J93" t="s">
        <v>77</v>
      </c>
      <c r="K93" t="s">
        <v>78</v>
      </c>
      <c r="L93" t="s">
        <v>302</v>
      </c>
      <c r="M93" t="s">
        <v>303</v>
      </c>
      <c r="N93" t="s">
        <v>425</v>
      </c>
      <c r="O93" t="s">
        <v>89</v>
      </c>
      <c r="P93" t="str">
        <f>"4170071346                    "</f>
        <v xml:space="preserve">4170071346                    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22.24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1</v>
      </c>
      <c r="BI93">
        <v>1</v>
      </c>
      <c r="BJ93">
        <v>0.2</v>
      </c>
      <c r="BK93">
        <v>1</v>
      </c>
      <c r="BL93">
        <v>72.78</v>
      </c>
      <c r="BM93">
        <v>10.92</v>
      </c>
      <c r="BN93">
        <v>83.7</v>
      </c>
      <c r="BO93">
        <v>83.7</v>
      </c>
      <c r="BQ93" t="s">
        <v>426</v>
      </c>
      <c r="BR93" t="s">
        <v>82</v>
      </c>
      <c r="BS93" s="3">
        <v>45993</v>
      </c>
      <c r="BT93" s="4">
        <v>0.3263888888888889</v>
      </c>
      <c r="BU93" t="s">
        <v>427</v>
      </c>
      <c r="BV93" t="s">
        <v>84</v>
      </c>
      <c r="BY93">
        <v>1200</v>
      </c>
      <c r="CA93">
        <v>7712195338085</v>
      </c>
      <c r="CC93" t="s">
        <v>303</v>
      </c>
      <c r="CD93" s="5" t="s">
        <v>350</v>
      </c>
      <c r="CE93" t="s">
        <v>134</v>
      </c>
      <c r="CF93" s="3">
        <v>45993</v>
      </c>
      <c r="CI93">
        <v>1</v>
      </c>
      <c r="CJ93">
        <v>1</v>
      </c>
      <c r="CK93">
        <v>21</v>
      </c>
      <c r="CL93" t="s">
        <v>87</v>
      </c>
    </row>
    <row r="94" spans="1:90" x14ac:dyDescent="0.3">
      <c r="A94" t="s">
        <v>72</v>
      </c>
      <c r="B94" t="s">
        <v>73</v>
      </c>
      <c r="C94" t="s">
        <v>74</v>
      </c>
      <c r="E94" t="str">
        <f>"080069583882"</f>
        <v>080069583882</v>
      </c>
      <c r="F94" s="3">
        <v>45992</v>
      </c>
      <c r="G94">
        <v>202609</v>
      </c>
      <c r="H94" t="s">
        <v>75</v>
      </c>
      <c r="I94" t="s">
        <v>76</v>
      </c>
      <c r="J94" t="s">
        <v>77</v>
      </c>
      <c r="K94" t="s">
        <v>78</v>
      </c>
      <c r="L94" t="s">
        <v>202</v>
      </c>
      <c r="M94" t="s">
        <v>203</v>
      </c>
      <c r="N94" t="s">
        <v>204</v>
      </c>
      <c r="O94" t="s">
        <v>89</v>
      </c>
      <c r="P94" t="str">
        <f>"4170071250                    "</f>
        <v xml:space="preserve">4170071250                    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43.09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1</v>
      </c>
      <c r="BI94">
        <v>1</v>
      </c>
      <c r="BJ94">
        <v>0.2</v>
      </c>
      <c r="BK94">
        <v>1</v>
      </c>
      <c r="BL94">
        <v>141.02000000000001</v>
      </c>
      <c r="BM94">
        <v>21.15</v>
      </c>
      <c r="BN94">
        <v>162.16999999999999</v>
      </c>
      <c r="BO94">
        <v>162.16999999999999</v>
      </c>
      <c r="BQ94" t="s">
        <v>205</v>
      </c>
      <c r="BR94" t="s">
        <v>82</v>
      </c>
      <c r="BS94" s="3">
        <v>45993</v>
      </c>
      <c r="BT94" s="4">
        <v>0.49027777777777776</v>
      </c>
      <c r="BU94" t="s">
        <v>206</v>
      </c>
      <c r="BV94" t="s">
        <v>84</v>
      </c>
      <c r="BY94">
        <v>1200</v>
      </c>
      <c r="CA94" t="s">
        <v>207</v>
      </c>
      <c r="CC94" t="s">
        <v>203</v>
      </c>
      <c r="CD94">
        <v>2531</v>
      </c>
      <c r="CE94" t="s">
        <v>134</v>
      </c>
      <c r="CF94" s="3">
        <v>45994</v>
      </c>
      <c r="CI94">
        <v>1</v>
      </c>
      <c r="CJ94">
        <v>1</v>
      </c>
      <c r="CK94">
        <v>23</v>
      </c>
      <c r="CL94" t="s">
        <v>87</v>
      </c>
    </row>
    <row r="95" spans="1:90" x14ac:dyDescent="0.3">
      <c r="A95" t="s">
        <v>72</v>
      </c>
      <c r="B95" t="s">
        <v>73</v>
      </c>
      <c r="C95" t="s">
        <v>74</v>
      </c>
      <c r="E95" t="str">
        <f>"080069583917"</f>
        <v>080069583917</v>
      </c>
      <c r="F95" s="3">
        <v>45992</v>
      </c>
      <c r="G95">
        <v>202609</v>
      </c>
      <c r="H95" t="s">
        <v>75</v>
      </c>
      <c r="I95" t="s">
        <v>76</v>
      </c>
      <c r="J95" t="s">
        <v>77</v>
      </c>
      <c r="K95" t="s">
        <v>78</v>
      </c>
      <c r="L95" t="s">
        <v>302</v>
      </c>
      <c r="M95" t="s">
        <v>303</v>
      </c>
      <c r="N95" t="s">
        <v>425</v>
      </c>
      <c r="O95" t="s">
        <v>89</v>
      </c>
      <c r="P95" t="str">
        <f>"4170071245                    "</f>
        <v xml:space="preserve">4170071245                    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22.24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1</v>
      </c>
      <c r="BI95">
        <v>1</v>
      </c>
      <c r="BJ95">
        <v>0.2</v>
      </c>
      <c r="BK95">
        <v>1</v>
      </c>
      <c r="BL95">
        <v>72.78</v>
      </c>
      <c r="BM95">
        <v>10.92</v>
      </c>
      <c r="BN95">
        <v>83.7</v>
      </c>
      <c r="BO95">
        <v>83.7</v>
      </c>
      <c r="BQ95" t="s">
        <v>426</v>
      </c>
      <c r="BR95" t="s">
        <v>82</v>
      </c>
      <c r="BS95" s="3">
        <v>45993</v>
      </c>
      <c r="BT95" s="4">
        <v>0.32708333333333334</v>
      </c>
      <c r="BU95" t="s">
        <v>427</v>
      </c>
      <c r="BV95" t="s">
        <v>84</v>
      </c>
      <c r="BY95">
        <v>1200</v>
      </c>
      <c r="CA95">
        <v>7712195338085</v>
      </c>
      <c r="CC95" t="s">
        <v>303</v>
      </c>
      <c r="CD95" s="5" t="s">
        <v>350</v>
      </c>
      <c r="CE95" t="s">
        <v>134</v>
      </c>
      <c r="CF95" s="3">
        <v>45993</v>
      </c>
      <c r="CI95">
        <v>1</v>
      </c>
      <c r="CJ95">
        <v>1</v>
      </c>
      <c r="CK95">
        <v>21</v>
      </c>
      <c r="CL95" t="s">
        <v>87</v>
      </c>
    </row>
    <row r="96" spans="1:90" x14ac:dyDescent="0.3">
      <c r="A96" t="s">
        <v>72</v>
      </c>
      <c r="B96" t="s">
        <v>73</v>
      </c>
      <c r="C96" t="s">
        <v>74</v>
      </c>
      <c r="E96" t="str">
        <f>"080069583928"</f>
        <v>080069583928</v>
      </c>
      <c r="F96" s="3">
        <v>45992</v>
      </c>
      <c r="G96">
        <v>202609</v>
      </c>
      <c r="H96" t="s">
        <v>75</v>
      </c>
      <c r="I96" t="s">
        <v>76</v>
      </c>
      <c r="J96" t="s">
        <v>77</v>
      </c>
      <c r="K96" t="s">
        <v>78</v>
      </c>
      <c r="L96" t="s">
        <v>302</v>
      </c>
      <c r="M96" t="s">
        <v>303</v>
      </c>
      <c r="N96" t="s">
        <v>428</v>
      </c>
      <c r="O96" t="s">
        <v>80</v>
      </c>
      <c r="P96" t="str">
        <f>"4170071333                    "</f>
        <v xml:space="preserve">4170071333                    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103.44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2</v>
      </c>
      <c r="BI96">
        <v>40</v>
      </c>
      <c r="BJ96">
        <v>48.6</v>
      </c>
      <c r="BK96">
        <v>49</v>
      </c>
      <c r="BL96">
        <v>344.64</v>
      </c>
      <c r="BM96">
        <v>51.7</v>
      </c>
      <c r="BN96">
        <v>396.34</v>
      </c>
      <c r="BO96">
        <v>396.34</v>
      </c>
      <c r="BQ96" t="s">
        <v>429</v>
      </c>
      <c r="BR96" t="s">
        <v>82</v>
      </c>
      <c r="BS96" s="3">
        <v>45996</v>
      </c>
      <c r="BT96" s="4">
        <v>0.55902777777777779</v>
      </c>
      <c r="BU96" t="s">
        <v>430</v>
      </c>
      <c r="BV96" t="s">
        <v>87</v>
      </c>
      <c r="BW96" t="s">
        <v>174</v>
      </c>
      <c r="BX96" t="s">
        <v>431</v>
      </c>
      <c r="BY96">
        <v>242880</v>
      </c>
      <c r="CA96" t="s">
        <v>432</v>
      </c>
      <c r="CC96" t="s">
        <v>303</v>
      </c>
      <c r="CD96" s="5" t="s">
        <v>433</v>
      </c>
      <c r="CE96" t="s">
        <v>86</v>
      </c>
      <c r="CF96" s="3">
        <v>45996</v>
      </c>
      <c r="CI96">
        <v>1</v>
      </c>
      <c r="CJ96">
        <v>4</v>
      </c>
      <c r="CK96">
        <v>41</v>
      </c>
      <c r="CL96" t="s">
        <v>87</v>
      </c>
    </row>
    <row r="97" spans="1:90" x14ac:dyDescent="0.3">
      <c r="A97" t="s">
        <v>72</v>
      </c>
      <c r="B97" t="s">
        <v>73</v>
      </c>
      <c r="C97" t="s">
        <v>74</v>
      </c>
      <c r="E97" t="str">
        <f>"080069583949"</f>
        <v>080069583949</v>
      </c>
      <c r="F97" s="3">
        <v>45992</v>
      </c>
      <c r="G97">
        <v>202609</v>
      </c>
      <c r="H97" t="s">
        <v>75</v>
      </c>
      <c r="I97" t="s">
        <v>76</v>
      </c>
      <c r="J97" t="s">
        <v>77</v>
      </c>
      <c r="K97" t="s">
        <v>78</v>
      </c>
      <c r="L97" t="s">
        <v>156</v>
      </c>
      <c r="M97" t="s">
        <v>157</v>
      </c>
      <c r="N97" t="s">
        <v>261</v>
      </c>
      <c r="O97" t="s">
        <v>89</v>
      </c>
      <c r="P97" t="str">
        <f>"4170071218                    "</f>
        <v xml:space="preserve">4170071218                    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22.24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1</v>
      </c>
      <c r="BI97">
        <v>1</v>
      </c>
      <c r="BJ97">
        <v>0.2</v>
      </c>
      <c r="BK97">
        <v>1</v>
      </c>
      <c r="BL97">
        <v>72.78</v>
      </c>
      <c r="BM97">
        <v>10.92</v>
      </c>
      <c r="BN97">
        <v>83.7</v>
      </c>
      <c r="BO97">
        <v>83.7</v>
      </c>
      <c r="BQ97" t="s">
        <v>262</v>
      </c>
      <c r="BR97" t="s">
        <v>82</v>
      </c>
      <c r="BS97" s="3">
        <v>45993</v>
      </c>
      <c r="BT97" s="4">
        <v>0.42083333333333334</v>
      </c>
      <c r="BU97" t="s">
        <v>263</v>
      </c>
      <c r="BV97" t="s">
        <v>84</v>
      </c>
      <c r="BY97">
        <v>1200</v>
      </c>
      <c r="BZ97" t="s">
        <v>125</v>
      </c>
      <c r="CA97" t="s">
        <v>264</v>
      </c>
      <c r="CC97" t="s">
        <v>157</v>
      </c>
      <c r="CD97">
        <v>7441</v>
      </c>
      <c r="CE97" t="s">
        <v>127</v>
      </c>
      <c r="CF97" s="3">
        <v>45994</v>
      </c>
      <c r="CI97">
        <v>1</v>
      </c>
      <c r="CJ97">
        <v>1</v>
      </c>
      <c r="CK97">
        <v>21</v>
      </c>
      <c r="CL97" t="s">
        <v>87</v>
      </c>
    </row>
    <row r="98" spans="1:90" x14ac:dyDescent="0.3">
      <c r="A98" t="s">
        <v>72</v>
      </c>
      <c r="B98" t="s">
        <v>73</v>
      </c>
      <c r="C98" t="s">
        <v>74</v>
      </c>
      <c r="E98" t="str">
        <f>"080069583984"</f>
        <v>080069583984</v>
      </c>
      <c r="F98" s="3">
        <v>45992</v>
      </c>
      <c r="G98">
        <v>202609</v>
      </c>
      <c r="H98" t="s">
        <v>75</v>
      </c>
      <c r="I98" t="s">
        <v>76</v>
      </c>
      <c r="J98" t="s">
        <v>77</v>
      </c>
      <c r="K98" t="s">
        <v>78</v>
      </c>
      <c r="L98" t="s">
        <v>302</v>
      </c>
      <c r="M98" t="s">
        <v>303</v>
      </c>
      <c r="N98" t="s">
        <v>425</v>
      </c>
      <c r="O98" t="s">
        <v>89</v>
      </c>
      <c r="P98" t="str">
        <f>"4170071320                    "</f>
        <v xml:space="preserve">4170071320                    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22.24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1</v>
      </c>
      <c r="BI98">
        <v>1</v>
      </c>
      <c r="BJ98">
        <v>0.2</v>
      </c>
      <c r="BK98">
        <v>1</v>
      </c>
      <c r="BL98">
        <v>72.78</v>
      </c>
      <c r="BM98">
        <v>10.92</v>
      </c>
      <c r="BN98">
        <v>83.7</v>
      </c>
      <c r="BO98">
        <v>83.7</v>
      </c>
      <c r="BQ98" t="s">
        <v>426</v>
      </c>
      <c r="BR98" t="s">
        <v>82</v>
      </c>
      <c r="BS98" s="3">
        <v>45993</v>
      </c>
      <c r="BT98" s="4">
        <v>0.32708333333333334</v>
      </c>
      <c r="BU98" t="s">
        <v>427</v>
      </c>
      <c r="BV98" t="s">
        <v>84</v>
      </c>
      <c r="BY98">
        <v>1200</v>
      </c>
      <c r="CA98">
        <v>7712195338085</v>
      </c>
      <c r="CC98" t="s">
        <v>303</v>
      </c>
      <c r="CD98" s="5" t="s">
        <v>350</v>
      </c>
      <c r="CE98" t="s">
        <v>134</v>
      </c>
      <c r="CF98" s="3">
        <v>45993</v>
      </c>
      <c r="CI98">
        <v>1</v>
      </c>
      <c r="CJ98">
        <v>1</v>
      </c>
      <c r="CK98">
        <v>21</v>
      </c>
      <c r="CL98" t="s">
        <v>87</v>
      </c>
    </row>
    <row r="99" spans="1:90" x14ac:dyDescent="0.3">
      <c r="A99" t="s">
        <v>72</v>
      </c>
      <c r="B99" t="s">
        <v>73</v>
      </c>
      <c r="C99" t="s">
        <v>74</v>
      </c>
      <c r="E99" t="str">
        <f>"080069584134"</f>
        <v>080069584134</v>
      </c>
      <c r="F99" s="3">
        <v>45992</v>
      </c>
      <c r="G99">
        <v>202609</v>
      </c>
      <c r="H99" t="s">
        <v>75</v>
      </c>
      <c r="I99" t="s">
        <v>76</v>
      </c>
      <c r="J99" t="s">
        <v>77</v>
      </c>
      <c r="K99" t="s">
        <v>78</v>
      </c>
      <c r="L99" t="s">
        <v>156</v>
      </c>
      <c r="M99" t="s">
        <v>157</v>
      </c>
      <c r="N99" t="s">
        <v>434</v>
      </c>
      <c r="O99" t="s">
        <v>89</v>
      </c>
      <c r="P99" t="str">
        <f>"4170071310                    "</f>
        <v xml:space="preserve">4170071310                    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22.24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1</v>
      </c>
      <c r="BI99">
        <v>1</v>
      </c>
      <c r="BJ99">
        <v>0.2</v>
      </c>
      <c r="BK99">
        <v>1</v>
      </c>
      <c r="BL99">
        <v>72.78</v>
      </c>
      <c r="BM99">
        <v>10.92</v>
      </c>
      <c r="BN99">
        <v>83.7</v>
      </c>
      <c r="BO99">
        <v>83.7</v>
      </c>
      <c r="BQ99" t="s">
        <v>435</v>
      </c>
      <c r="BR99" t="s">
        <v>82</v>
      </c>
      <c r="BS99" s="3">
        <v>45993</v>
      </c>
      <c r="BT99" s="4">
        <v>0.43333333333333335</v>
      </c>
      <c r="BU99" t="s">
        <v>436</v>
      </c>
      <c r="BV99" t="s">
        <v>84</v>
      </c>
      <c r="BY99">
        <v>1200</v>
      </c>
      <c r="BZ99" t="s">
        <v>125</v>
      </c>
      <c r="CC99" t="s">
        <v>157</v>
      </c>
      <c r="CD99">
        <v>7441</v>
      </c>
      <c r="CE99" t="s">
        <v>127</v>
      </c>
      <c r="CF99" s="3">
        <v>45994</v>
      </c>
      <c r="CI99">
        <v>1</v>
      </c>
      <c r="CJ99">
        <v>1</v>
      </c>
      <c r="CK99">
        <v>21</v>
      </c>
      <c r="CL99" t="s">
        <v>87</v>
      </c>
    </row>
    <row r="100" spans="1:90" x14ac:dyDescent="0.3">
      <c r="A100" t="s">
        <v>72</v>
      </c>
      <c r="B100" t="s">
        <v>73</v>
      </c>
      <c r="C100" t="s">
        <v>74</v>
      </c>
      <c r="E100" t="str">
        <f>"080069584182"</f>
        <v>080069584182</v>
      </c>
      <c r="F100" s="3">
        <v>45992</v>
      </c>
      <c r="G100">
        <v>202609</v>
      </c>
      <c r="H100" t="s">
        <v>75</v>
      </c>
      <c r="I100" t="s">
        <v>76</v>
      </c>
      <c r="J100" t="s">
        <v>77</v>
      </c>
      <c r="K100" t="s">
        <v>78</v>
      </c>
      <c r="L100" t="s">
        <v>100</v>
      </c>
      <c r="M100" t="s">
        <v>101</v>
      </c>
      <c r="N100" t="s">
        <v>102</v>
      </c>
      <c r="O100" t="s">
        <v>89</v>
      </c>
      <c r="P100" t="str">
        <f>"4170071235                    "</f>
        <v xml:space="preserve">4170071235                    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22.24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1</v>
      </c>
      <c r="BI100">
        <v>1</v>
      </c>
      <c r="BJ100">
        <v>0.2</v>
      </c>
      <c r="BK100">
        <v>1</v>
      </c>
      <c r="BL100">
        <v>72.78</v>
      </c>
      <c r="BM100">
        <v>10.92</v>
      </c>
      <c r="BN100">
        <v>83.7</v>
      </c>
      <c r="BO100">
        <v>83.7</v>
      </c>
      <c r="BQ100" t="s">
        <v>103</v>
      </c>
      <c r="BR100" t="s">
        <v>82</v>
      </c>
      <c r="BS100" s="3">
        <v>45993</v>
      </c>
      <c r="BT100" s="4">
        <v>0.36527777777777776</v>
      </c>
      <c r="BU100" t="s">
        <v>398</v>
      </c>
      <c r="BV100" t="s">
        <v>84</v>
      </c>
      <c r="BY100">
        <v>1200</v>
      </c>
      <c r="BZ100" t="s">
        <v>125</v>
      </c>
      <c r="CA100" t="s">
        <v>107</v>
      </c>
      <c r="CC100" t="s">
        <v>101</v>
      </c>
      <c r="CD100">
        <v>4051</v>
      </c>
      <c r="CE100" t="s">
        <v>127</v>
      </c>
      <c r="CF100" s="3">
        <v>45993</v>
      </c>
      <c r="CI100">
        <v>1</v>
      </c>
      <c r="CJ100">
        <v>1</v>
      </c>
      <c r="CK100">
        <v>21</v>
      </c>
      <c r="CL100" t="s">
        <v>87</v>
      </c>
    </row>
    <row r="101" spans="1:90" x14ac:dyDescent="0.3">
      <c r="A101" t="s">
        <v>72</v>
      </c>
      <c r="B101" t="s">
        <v>73</v>
      </c>
      <c r="C101" t="s">
        <v>74</v>
      </c>
      <c r="E101" t="str">
        <f>"080069584229"</f>
        <v>080069584229</v>
      </c>
      <c r="F101" s="3">
        <v>45992</v>
      </c>
      <c r="G101">
        <v>202609</v>
      </c>
      <c r="H101" t="s">
        <v>75</v>
      </c>
      <c r="I101" t="s">
        <v>76</v>
      </c>
      <c r="J101" t="s">
        <v>77</v>
      </c>
      <c r="K101" t="s">
        <v>78</v>
      </c>
      <c r="L101" t="s">
        <v>437</v>
      </c>
      <c r="M101" t="s">
        <v>438</v>
      </c>
      <c r="N101" t="s">
        <v>439</v>
      </c>
      <c r="O101" t="s">
        <v>89</v>
      </c>
      <c r="P101" t="str">
        <f>"4170071227                    "</f>
        <v xml:space="preserve">4170071227                    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43.09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1</v>
      </c>
      <c r="BI101">
        <v>1</v>
      </c>
      <c r="BJ101">
        <v>0.2</v>
      </c>
      <c r="BK101">
        <v>1</v>
      </c>
      <c r="BL101">
        <v>141.02000000000001</v>
      </c>
      <c r="BM101">
        <v>21.15</v>
      </c>
      <c r="BN101">
        <v>162.16999999999999</v>
      </c>
      <c r="BO101">
        <v>162.16999999999999</v>
      </c>
      <c r="BQ101" t="s">
        <v>440</v>
      </c>
      <c r="BR101" t="s">
        <v>82</v>
      </c>
      <c r="BS101" s="3">
        <v>45995</v>
      </c>
      <c r="BT101" s="4">
        <v>0.73402777777777772</v>
      </c>
      <c r="BU101" t="s">
        <v>441</v>
      </c>
      <c r="BV101" t="s">
        <v>87</v>
      </c>
      <c r="BY101">
        <v>1200</v>
      </c>
      <c r="CA101" t="s">
        <v>442</v>
      </c>
      <c r="CC101" t="s">
        <v>438</v>
      </c>
      <c r="CD101">
        <v>3290</v>
      </c>
      <c r="CE101" t="s">
        <v>134</v>
      </c>
      <c r="CF101" s="3">
        <v>45996</v>
      </c>
      <c r="CI101">
        <v>1</v>
      </c>
      <c r="CJ101">
        <v>3</v>
      </c>
      <c r="CK101">
        <v>23</v>
      </c>
      <c r="CL101" t="s">
        <v>87</v>
      </c>
    </row>
    <row r="102" spans="1:90" x14ac:dyDescent="0.3">
      <c r="A102" t="s">
        <v>72</v>
      </c>
      <c r="B102" t="s">
        <v>73</v>
      </c>
      <c r="C102" t="s">
        <v>74</v>
      </c>
      <c r="E102" t="str">
        <f>"080069584284"</f>
        <v>080069584284</v>
      </c>
      <c r="F102" s="3">
        <v>45992</v>
      </c>
      <c r="G102">
        <v>202609</v>
      </c>
      <c r="H102" t="s">
        <v>75</v>
      </c>
      <c r="I102" t="s">
        <v>76</v>
      </c>
      <c r="J102" t="s">
        <v>77</v>
      </c>
      <c r="K102" t="s">
        <v>78</v>
      </c>
      <c r="L102" t="s">
        <v>156</v>
      </c>
      <c r="M102" t="s">
        <v>157</v>
      </c>
      <c r="N102" t="s">
        <v>443</v>
      </c>
      <c r="O102" t="s">
        <v>89</v>
      </c>
      <c r="P102" t="str">
        <f>"4170071210                    "</f>
        <v xml:space="preserve">4170071210                    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22.24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1</v>
      </c>
      <c r="BI102">
        <v>1</v>
      </c>
      <c r="BJ102">
        <v>0.2</v>
      </c>
      <c r="BK102">
        <v>1</v>
      </c>
      <c r="BL102">
        <v>72.78</v>
      </c>
      <c r="BM102">
        <v>10.92</v>
      </c>
      <c r="BN102">
        <v>83.7</v>
      </c>
      <c r="BO102">
        <v>83.7</v>
      </c>
      <c r="BQ102" t="s">
        <v>444</v>
      </c>
      <c r="BR102" t="s">
        <v>82</v>
      </c>
      <c r="BS102" s="3">
        <v>45993</v>
      </c>
      <c r="BT102" s="4">
        <v>0.4513888888888889</v>
      </c>
      <c r="BU102" t="s">
        <v>445</v>
      </c>
      <c r="BV102" t="s">
        <v>87</v>
      </c>
      <c r="BW102" t="s">
        <v>153</v>
      </c>
      <c r="BX102" t="s">
        <v>345</v>
      </c>
      <c r="BY102">
        <v>1200</v>
      </c>
      <c r="CA102" t="s">
        <v>346</v>
      </c>
      <c r="CC102" t="s">
        <v>157</v>
      </c>
      <c r="CD102">
        <v>7530</v>
      </c>
      <c r="CE102" t="s">
        <v>134</v>
      </c>
      <c r="CF102" s="3">
        <v>45994</v>
      </c>
      <c r="CI102">
        <v>1</v>
      </c>
      <c r="CJ102">
        <v>1</v>
      </c>
      <c r="CK102">
        <v>21</v>
      </c>
      <c r="CL102" t="s">
        <v>87</v>
      </c>
    </row>
    <row r="103" spans="1:90" x14ac:dyDescent="0.3">
      <c r="A103" t="s">
        <v>72</v>
      </c>
      <c r="B103" t="s">
        <v>73</v>
      </c>
      <c r="C103" t="s">
        <v>74</v>
      </c>
      <c r="E103" t="str">
        <f>"080069584335"</f>
        <v>080069584335</v>
      </c>
      <c r="F103" s="3">
        <v>45992</v>
      </c>
      <c r="G103">
        <v>202609</v>
      </c>
      <c r="H103" t="s">
        <v>75</v>
      </c>
      <c r="I103" t="s">
        <v>76</v>
      </c>
      <c r="J103" t="s">
        <v>77</v>
      </c>
      <c r="K103" t="s">
        <v>78</v>
      </c>
      <c r="L103" t="s">
        <v>156</v>
      </c>
      <c r="M103" t="s">
        <v>157</v>
      </c>
      <c r="N103" t="s">
        <v>261</v>
      </c>
      <c r="O103" t="s">
        <v>89</v>
      </c>
      <c r="P103" t="str">
        <f>"4170071241                    "</f>
        <v xml:space="preserve">4170071241                    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22.24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1</v>
      </c>
      <c r="BI103">
        <v>1</v>
      </c>
      <c r="BJ103">
        <v>0.2</v>
      </c>
      <c r="BK103">
        <v>1</v>
      </c>
      <c r="BL103">
        <v>72.78</v>
      </c>
      <c r="BM103">
        <v>10.92</v>
      </c>
      <c r="BN103">
        <v>83.7</v>
      </c>
      <c r="BO103">
        <v>83.7</v>
      </c>
      <c r="BQ103" t="s">
        <v>262</v>
      </c>
      <c r="BR103" t="s">
        <v>82</v>
      </c>
      <c r="BS103" s="3">
        <v>45993</v>
      </c>
      <c r="BT103" s="4">
        <v>0.42083333333333334</v>
      </c>
      <c r="BU103" t="s">
        <v>263</v>
      </c>
      <c r="BV103" t="s">
        <v>84</v>
      </c>
      <c r="BY103">
        <v>1200</v>
      </c>
      <c r="BZ103" t="s">
        <v>125</v>
      </c>
      <c r="CA103" t="s">
        <v>264</v>
      </c>
      <c r="CC103" t="s">
        <v>157</v>
      </c>
      <c r="CD103">
        <v>7441</v>
      </c>
      <c r="CE103" t="s">
        <v>127</v>
      </c>
      <c r="CF103" s="3">
        <v>45994</v>
      </c>
      <c r="CI103">
        <v>1</v>
      </c>
      <c r="CJ103">
        <v>1</v>
      </c>
      <c r="CK103">
        <v>21</v>
      </c>
      <c r="CL103" t="s">
        <v>87</v>
      </c>
    </row>
    <row r="104" spans="1:90" x14ac:dyDescent="0.3">
      <c r="A104" t="s">
        <v>72</v>
      </c>
      <c r="B104" t="s">
        <v>73</v>
      </c>
      <c r="C104" t="s">
        <v>74</v>
      </c>
      <c r="E104" t="str">
        <f>"080069584396"</f>
        <v>080069584396</v>
      </c>
      <c r="F104" s="3">
        <v>45992</v>
      </c>
      <c r="G104">
        <v>202609</v>
      </c>
      <c r="H104" t="s">
        <v>75</v>
      </c>
      <c r="I104" t="s">
        <v>76</v>
      </c>
      <c r="J104" t="s">
        <v>77</v>
      </c>
      <c r="K104" t="s">
        <v>78</v>
      </c>
      <c r="L104" t="s">
        <v>156</v>
      </c>
      <c r="M104" t="s">
        <v>157</v>
      </c>
      <c r="N104" t="s">
        <v>446</v>
      </c>
      <c r="O104" t="s">
        <v>89</v>
      </c>
      <c r="P104" t="str">
        <f>"4170071246                    "</f>
        <v xml:space="preserve">4170071246                    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22.24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1</v>
      </c>
      <c r="BI104">
        <v>1</v>
      </c>
      <c r="BJ104">
        <v>0.2</v>
      </c>
      <c r="BK104">
        <v>1</v>
      </c>
      <c r="BL104">
        <v>72.78</v>
      </c>
      <c r="BM104">
        <v>10.92</v>
      </c>
      <c r="BN104">
        <v>83.7</v>
      </c>
      <c r="BO104">
        <v>83.7</v>
      </c>
      <c r="BQ104" t="s">
        <v>447</v>
      </c>
      <c r="BR104" t="s">
        <v>82</v>
      </c>
      <c r="BS104" s="3">
        <v>45993</v>
      </c>
      <c r="BT104" s="4">
        <v>0.57847222222222228</v>
      </c>
      <c r="BU104" t="s">
        <v>448</v>
      </c>
      <c r="BV104" t="s">
        <v>87</v>
      </c>
      <c r="BW104" t="s">
        <v>153</v>
      </c>
      <c r="BX104" t="s">
        <v>161</v>
      </c>
      <c r="BY104">
        <v>1200</v>
      </c>
      <c r="CA104" t="s">
        <v>162</v>
      </c>
      <c r="CC104" t="s">
        <v>157</v>
      </c>
      <c r="CD104">
        <v>7530</v>
      </c>
      <c r="CE104" t="s">
        <v>134</v>
      </c>
      <c r="CF104" s="3">
        <v>45994</v>
      </c>
      <c r="CI104">
        <v>1</v>
      </c>
      <c r="CJ104">
        <v>1</v>
      </c>
      <c r="CK104">
        <v>21</v>
      </c>
      <c r="CL104" t="s">
        <v>87</v>
      </c>
    </row>
    <row r="105" spans="1:90" x14ac:dyDescent="0.3">
      <c r="A105" t="s">
        <v>72</v>
      </c>
      <c r="B105" t="s">
        <v>73</v>
      </c>
      <c r="C105" t="s">
        <v>74</v>
      </c>
      <c r="E105" t="str">
        <f>"080069584462"</f>
        <v>080069584462</v>
      </c>
      <c r="F105" s="3">
        <v>45992</v>
      </c>
      <c r="G105">
        <v>202609</v>
      </c>
      <c r="H105" t="s">
        <v>75</v>
      </c>
      <c r="I105" t="s">
        <v>76</v>
      </c>
      <c r="J105" t="s">
        <v>77</v>
      </c>
      <c r="K105" t="s">
        <v>78</v>
      </c>
      <c r="L105" t="s">
        <v>75</v>
      </c>
      <c r="M105" t="s">
        <v>76</v>
      </c>
      <c r="N105" t="s">
        <v>195</v>
      </c>
      <c r="O105" t="s">
        <v>89</v>
      </c>
      <c r="P105" t="str">
        <f>"4170071251                    "</f>
        <v xml:space="preserve">4170071251                    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17.37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1</v>
      </c>
      <c r="BI105">
        <v>1</v>
      </c>
      <c r="BJ105">
        <v>0.2</v>
      </c>
      <c r="BK105">
        <v>1</v>
      </c>
      <c r="BL105">
        <v>56.85</v>
      </c>
      <c r="BM105">
        <v>8.5299999999999994</v>
      </c>
      <c r="BN105">
        <v>65.38</v>
      </c>
      <c r="BO105">
        <v>65.38</v>
      </c>
      <c r="BQ105" t="s">
        <v>196</v>
      </c>
      <c r="BR105" t="s">
        <v>82</v>
      </c>
      <c r="BS105" s="3">
        <v>45993</v>
      </c>
      <c r="BT105" s="4">
        <v>0.32569444444444445</v>
      </c>
      <c r="BU105" t="s">
        <v>449</v>
      </c>
      <c r="BV105" t="s">
        <v>84</v>
      </c>
      <c r="BY105">
        <v>1200</v>
      </c>
      <c r="CA105" t="s">
        <v>92</v>
      </c>
      <c r="CC105" t="s">
        <v>76</v>
      </c>
      <c r="CD105">
        <v>1600</v>
      </c>
      <c r="CE105" t="s">
        <v>450</v>
      </c>
      <c r="CF105" s="3">
        <v>45994</v>
      </c>
      <c r="CI105">
        <v>1</v>
      </c>
      <c r="CJ105">
        <v>1</v>
      </c>
      <c r="CK105">
        <v>22</v>
      </c>
      <c r="CL105" t="s">
        <v>87</v>
      </c>
    </row>
    <row r="106" spans="1:90" x14ac:dyDescent="0.3">
      <c r="A106" t="s">
        <v>72</v>
      </c>
      <c r="B106" t="s">
        <v>73</v>
      </c>
      <c r="C106" t="s">
        <v>74</v>
      </c>
      <c r="E106" t="str">
        <f>"080069584469"</f>
        <v>080069584469</v>
      </c>
      <c r="F106" s="3">
        <v>45992</v>
      </c>
      <c r="G106">
        <v>202609</v>
      </c>
      <c r="H106" t="s">
        <v>75</v>
      </c>
      <c r="I106" t="s">
        <v>76</v>
      </c>
      <c r="J106" t="s">
        <v>77</v>
      </c>
      <c r="K106" t="s">
        <v>78</v>
      </c>
      <c r="L106" t="s">
        <v>399</v>
      </c>
      <c r="M106" t="s">
        <v>400</v>
      </c>
      <c r="N106" t="s">
        <v>451</v>
      </c>
      <c r="O106" t="s">
        <v>89</v>
      </c>
      <c r="P106" t="str">
        <f>"4170071305                    "</f>
        <v xml:space="preserve">4170071305                    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17.37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1</v>
      </c>
      <c r="BI106">
        <v>4</v>
      </c>
      <c r="BJ106">
        <v>1.8</v>
      </c>
      <c r="BK106">
        <v>4</v>
      </c>
      <c r="BL106">
        <v>56.85</v>
      </c>
      <c r="BM106">
        <v>8.5299999999999994</v>
      </c>
      <c r="BN106">
        <v>65.38</v>
      </c>
      <c r="BO106">
        <v>65.38</v>
      </c>
      <c r="BQ106" t="s">
        <v>452</v>
      </c>
      <c r="BR106" t="s">
        <v>82</v>
      </c>
      <c r="BS106" s="3">
        <v>45993</v>
      </c>
      <c r="BT106" s="4">
        <v>0.35416666666666669</v>
      </c>
      <c r="BU106" t="s">
        <v>453</v>
      </c>
      <c r="BV106" t="s">
        <v>84</v>
      </c>
      <c r="BY106">
        <v>8775</v>
      </c>
      <c r="BZ106" t="s">
        <v>125</v>
      </c>
      <c r="CA106" t="s">
        <v>405</v>
      </c>
      <c r="CC106" t="s">
        <v>400</v>
      </c>
      <c r="CD106">
        <v>1724</v>
      </c>
      <c r="CE106" t="s">
        <v>147</v>
      </c>
      <c r="CF106" s="3">
        <v>45993</v>
      </c>
      <c r="CI106">
        <v>1</v>
      </c>
      <c r="CJ106">
        <v>1</v>
      </c>
      <c r="CK106">
        <v>22</v>
      </c>
      <c r="CL106" t="s">
        <v>87</v>
      </c>
    </row>
    <row r="107" spans="1:90" x14ac:dyDescent="0.3">
      <c r="A107" t="s">
        <v>72</v>
      </c>
      <c r="B107" t="s">
        <v>73</v>
      </c>
      <c r="C107" t="s">
        <v>74</v>
      </c>
      <c r="E107" t="str">
        <f>"080069584507"</f>
        <v>080069584507</v>
      </c>
      <c r="F107" s="3">
        <v>45992</v>
      </c>
      <c r="G107">
        <v>202609</v>
      </c>
      <c r="H107" t="s">
        <v>75</v>
      </c>
      <c r="I107" t="s">
        <v>76</v>
      </c>
      <c r="J107" t="s">
        <v>77</v>
      </c>
      <c r="K107" t="s">
        <v>78</v>
      </c>
      <c r="L107" t="s">
        <v>176</v>
      </c>
      <c r="M107" t="s">
        <v>177</v>
      </c>
      <c r="N107" t="s">
        <v>454</v>
      </c>
      <c r="O107" t="s">
        <v>89</v>
      </c>
      <c r="P107" t="str">
        <f>"4170071247                    "</f>
        <v xml:space="preserve">4170071247                    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17.37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1</v>
      </c>
      <c r="BI107">
        <v>1</v>
      </c>
      <c r="BJ107">
        <v>0.2</v>
      </c>
      <c r="BK107">
        <v>1</v>
      </c>
      <c r="BL107">
        <v>56.85</v>
      </c>
      <c r="BM107">
        <v>8.5299999999999994</v>
      </c>
      <c r="BN107">
        <v>65.38</v>
      </c>
      <c r="BO107">
        <v>65.38</v>
      </c>
      <c r="BQ107" t="s">
        <v>455</v>
      </c>
      <c r="BR107" t="s">
        <v>82</v>
      </c>
      <c r="BS107" s="3">
        <v>45993</v>
      </c>
      <c r="BT107" s="4">
        <v>0.36319444444444443</v>
      </c>
      <c r="BU107" t="s">
        <v>456</v>
      </c>
      <c r="BV107" t="s">
        <v>84</v>
      </c>
      <c r="BY107">
        <v>1200</v>
      </c>
      <c r="CA107" t="s">
        <v>457</v>
      </c>
      <c r="CC107" t="s">
        <v>177</v>
      </c>
      <c r="CD107">
        <v>2001</v>
      </c>
      <c r="CE107" t="s">
        <v>134</v>
      </c>
      <c r="CF107" s="3">
        <v>45994</v>
      </c>
      <c r="CI107">
        <v>1</v>
      </c>
      <c r="CJ107">
        <v>1</v>
      </c>
      <c r="CK107">
        <v>22</v>
      </c>
      <c r="CL107" t="s">
        <v>87</v>
      </c>
    </row>
    <row r="108" spans="1:90" x14ac:dyDescent="0.3">
      <c r="A108" t="s">
        <v>72</v>
      </c>
      <c r="B108" t="s">
        <v>73</v>
      </c>
      <c r="C108" t="s">
        <v>74</v>
      </c>
      <c r="E108" t="str">
        <f>"080069584540"</f>
        <v>080069584540</v>
      </c>
      <c r="F108" s="3">
        <v>45992</v>
      </c>
      <c r="G108">
        <v>202609</v>
      </c>
      <c r="H108" t="s">
        <v>75</v>
      </c>
      <c r="I108" t="s">
        <v>76</v>
      </c>
      <c r="J108" t="s">
        <v>77</v>
      </c>
      <c r="K108" t="s">
        <v>78</v>
      </c>
      <c r="L108" t="s">
        <v>458</v>
      </c>
      <c r="M108" t="s">
        <v>459</v>
      </c>
      <c r="N108" t="s">
        <v>460</v>
      </c>
      <c r="O108" t="s">
        <v>89</v>
      </c>
      <c r="P108" t="str">
        <f>"4170071309                    "</f>
        <v xml:space="preserve">4170071309                    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101.46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1</v>
      </c>
      <c r="BI108">
        <v>5</v>
      </c>
      <c r="BJ108">
        <v>1.9</v>
      </c>
      <c r="BK108">
        <v>5</v>
      </c>
      <c r="BL108">
        <v>332.05</v>
      </c>
      <c r="BM108">
        <v>49.81</v>
      </c>
      <c r="BN108">
        <v>381.86</v>
      </c>
      <c r="BO108">
        <v>381.86</v>
      </c>
      <c r="BQ108" t="s">
        <v>461</v>
      </c>
      <c r="BR108" t="s">
        <v>82</v>
      </c>
      <c r="BS108" s="3">
        <v>45993</v>
      </c>
      <c r="BT108" s="4">
        <v>0.59513888888888888</v>
      </c>
      <c r="BU108" t="s">
        <v>462</v>
      </c>
      <c r="BV108" t="s">
        <v>87</v>
      </c>
      <c r="BW108" t="s">
        <v>153</v>
      </c>
      <c r="BX108" t="s">
        <v>345</v>
      </c>
      <c r="BY108">
        <v>9576</v>
      </c>
      <c r="CA108" t="s">
        <v>463</v>
      </c>
      <c r="CC108" t="s">
        <v>459</v>
      </c>
      <c r="CD108">
        <v>7130</v>
      </c>
      <c r="CE108" t="s">
        <v>86</v>
      </c>
      <c r="CF108" s="3">
        <v>45994</v>
      </c>
      <c r="CI108">
        <v>1</v>
      </c>
      <c r="CJ108">
        <v>1</v>
      </c>
      <c r="CK108">
        <v>23</v>
      </c>
      <c r="CL108" t="s">
        <v>87</v>
      </c>
    </row>
    <row r="109" spans="1:90" x14ac:dyDescent="0.3">
      <c r="A109" t="s">
        <v>72</v>
      </c>
      <c r="B109" t="s">
        <v>73</v>
      </c>
      <c r="C109" t="s">
        <v>74</v>
      </c>
      <c r="E109" t="str">
        <f>"080069584536"</f>
        <v>080069584536</v>
      </c>
      <c r="F109" s="3">
        <v>45992</v>
      </c>
      <c r="G109">
        <v>202609</v>
      </c>
      <c r="H109" t="s">
        <v>75</v>
      </c>
      <c r="I109" t="s">
        <v>76</v>
      </c>
      <c r="J109" t="s">
        <v>77</v>
      </c>
      <c r="K109" t="s">
        <v>78</v>
      </c>
      <c r="L109" t="s">
        <v>189</v>
      </c>
      <c r="M109" t="s">
        <v>190</v>
      </c>
      <c r="N109" t="s">
        <v>191</v>
      </c>
      <c r="O109" t="s">
        <v>80</v>
      </c>
      <c r="P109" t="str">
        <f>"4170071308                    "</f>
        <v xml:space="preserve">4170071308                    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48.34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1</v>
      </c>
      <c r="BI109">
        <v>8</v>
      </c>
      <c r="BJ109">
        <v>17.7</v>
      </c>
      <c r="BK109">
        <v>18</v>
      </c>
      <c r="BL109">
        <v>164.3</v>
      </c>
      <c r="BM109">
        <v>24.65</v>
      </c>
      <c r="BN109">
        <v>188.95</v>
      </c>
      <c r="BO109">
        <v>188.95</v>
      </c>
      <c r="BQ109" t="s">
        <v>192</v>
      </c>
      <c r="BR109" t="s">
        <v>82</v>
      </c>
      <c r="BS109" s="3">
        <v>45994</v>
      </c>
      <c r="BT109" s="4">
        <v>0.41805555555555557</v>
      </c>
      <c r="BU109" t="s">
        <v>464</v>
      </c>
      <c r="BV109" t="s">
        <v>84</v>
      </c>
      <c r="BY109">
        <v>88320</v>
      </c>
      <c r="CA109" t="s">
        <v>194</v>
      </c>
      <c r="CC109" t="s">
        <v>190</v>
      </c>
      <c r="CD109">
        <v>3201</v>
      </c>
      <c r="CE109" t="s">
        <v>86</v>
      </c>
      <c r="CF109" s="3">
        <v>45995</v>
      </c>
      <c r="CI109">
        <v>2</v>
      </c>
      <c r="CJ109">
        <v>2</v>
      </c>
      <c r="CK109">
        <v>41</v>
      </c>
      <c r="CL109" t="s">
        <v>87</v>
      </c>
    </row>
    <row r="110" spans="1:90" x14ac:dyDescent="0.3">
      <c r="A110" t="s">
        <v>72</v>
      </c>
      <c r="B110" t="s">
        <v>73</v>
      </c>
      <c r="C110" t="s">
        <v>74</v>
      </c>
      <c r="E110" t="str">
        <f>"080069584592"</f>
        <v>080069584592</v>
      </c>
      <c r="F110" s="3">
        <v>45992</v>
      </c>
      <c r="G110">
        <v>202609</v>
      </c>
      <c r="H110" t="s">
        <v>75</v>
      </c>
      <c r="I110" t="s">
        <v>76</v>
      </c>
      <c r="J110" t="s">
        <v>77</v>
      </c>
      <c r="K110" t="s">
        <v>78</v>
      </c>
      <c r="L110" t="s">
        <v>465</v>
      </c>
      <c r="M110" t="s">
        <v>466</v>
      </c>
      <c r="N110" t="s">
        <v>467</v>
      </c>
      <c r="O110" t="s">
        <v>340</v>
      </c>
      <c r="P110" t="str">
        <f>"4170071323                    "</f>
        <v xml:space="preserve">4170071323                    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17.38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1</v>
      </c>
      <c r="BI110">
        <v>2</v>
      </c>
      <c r="BJ110">
        <v>6.8</v>
      </c>
      <c r="BK110">
        <v>7</v>
      </c>
      <c r="BL110">
        <v>56.87</v>
      </c>
      <c r="BM110">
        <v>8.5299999999999994</v>
      </c>
      <c r="BN110">
        <v>65.400000000000006</v>
      </c>
      <c r="BO110">
        <v>65.400000000000006</v>
      </c>
      <c r="BQ110" t="s">
        <v>468</v>
      </c>
      <c r="BR110" t="s">
        <v>82</v>
      </c>
      <c r="BS110" s="3">
        <v>45993</v>
      </c>
      <c r="BT110" s="4">
        <v>0.4375</v>
      </c>
      <c r="BU110" t="s">
        <v>469</v>
      </c>
      <c r="BV110" t="s">
        <v>84</v>
      </c>
      <c r="BY110">
        <v>34125</v>
      </c>
      <c r="CC110" t="s">
        <v>466</v>
      </c>
      <c r="CD110">
        <v>1401</v>
      </c>
      <c r="CE110" t="s">
        <v>93</v>
      </c>
      <c r="CF110" s="3">
        <v>45994</v>
      </c>
      <c r="CI110">
        <v>1</v>
      </c>
      <c r="CJ110">
        <v>1</v>
      </c>
      <c r="CK110">
        <v>32</v>
      </c>
      <c r="CL110" t="s">
        <v>87</v>
      </c>
    </row>
    <row r="111" spans="1:90" x14ac:dyDescent="0.3">
      <c r="A111" t="s">
        <v>72</v>
      </c>
      <c r="B111" t="s">
        <v>73</v>
      </c>
      <c r="C111" t="s">
        <v>74</v>
      </c>
      <c r="E111" t="str">
        <f>"080069584591"</f>
        <v>080069584591</v>
      </c>
      <c r="F111" s="3">
        <v>45992</v>
      </c>
      <c r="G111">
        <v>202609</v>
      </c>
      <c r="H111" t="s">
        <v>75</v>
      </c>
      <c r="I111" t="s">
        <v>76</v>
      </c>
      <c r="J111" t="s">
        <v>77</v>
      </c>
      <c r="K111" t="s">
        <v>78</v>
      </c>
      <c r="L111" t="s">
        <v>141</v>
      </c>
      <c r="M111" t="s">
        <v>142</v>
      </c>
      <c r="N111" t="s">
        <v>214</v>
      </c>
      <c r="O111" t="s">
        <v>89</v>
      </c>
      <c r="P111" t="str">
        <f>"4170071231                    "</f>
        <v xml:space="preserve">4170071231                    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22.24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1</v>
      </c>
      <c r="BI111">
        <v>1</v>
      </c>
      <c r="BJ111">
        <v>1.1000000000000001</v>
      </c>
      <c r="BK111">
        <v>1.5</v>
      </c>
      <c r="BL111">
        <v>72.78</v>
      </c>
      <c r="BM111">
        <v>10.92</v>
      </c>
      <c r="BN111">
        <v>83.7</v>
      </c>
      <c r="BO111">
        <v>83.7</v>
      </c>
      <c r="BQ111" t="s">
        <v>215</v>
      </c>
      <c r="BR111" t="s">
        <v>82</v>
      </c>
      <c r="BS111" s="3">
        <v>45993</v>
      </c>
      <c r="BT111" s="4">
        <v>0.3923611111111111</v>
      </c>
      <c r="BU111" t="s">
        <v>216</v>
      </c>
      <c r="BV111" t="s">
        <v>84</v>
      </c>
      <c r="BY111">
        <v>5320</v>
      </c>
      <c r="BZ111" t="s">
        <v>125</v>
      </c>
      <c r="CA111" t="s">
        <v>217</v>
      </c>
      <c r="CC111" t="s">
        <v>142</v>
      </c>
      <c r="CD111">
        <v>6001</v>
      </c>
      <c r="CE111" t="s">
        <v>147</v>
      </c>
      <c r="CF111" s="3">
        <v>45993</v>
      </c>
      <c r="CI111">
        <v>1</v>
      </c>
      <c r="CJ111">
        <v>1</v>
      </c>
      <c r="CK111">
        <v>21</v>
      </c>
      <c r="CL111" t="s">
        <v>87</v>
      </c>
    </row>
    <row r="112" spans="1:90" x14ac:dyDescent="0.3">
      <c r="A112" t="s">
        <v>72</v>
      </c>
      <c r="B112" t="s">
        <v>73</v>
      </c>
      <c r="C112" t="s">
        <v>74</v>
      </c>
      <c r="E112" t="str">
        <f>"080069584657"</f>
        <v>080069584657</v>
      </c>
      <c r="F112" s="3">
        <v>45992</v>
      </c>
      <c r="G112">
        <v>202609</v>
      </c>
      <c r="H112" t="s">
        <v>75</v>
      </c>
      <c r="I112" t="s">
        <v>76</v>
      </c>
      <c r="J112" t="s">
        <v>77</v>
      </c>
      <c r="K112" t="s">
        <v>78</v>
      </c>
      <c r="L112" t="s">
        <v>156</v>
      </c>
      <c r="M112" t="s">
        <v>157</v>
      </c>
      <c r="N112" t="s">
        <v>470</v>
      </c>
      <c r="O112" t="s">
        <v>89</v>
      </c>
      <c r="P112" t="str">
        <f>"4170071328                    "</f>
        <v xml:space="preserve">4170071328                    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22.24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1</v>
      </c>
      <c r="BI112">
        <v>2</v>
      </c>
      <c r="BJ112">
        <v>1.1000000000000001</v>
      </c>
      <c r="BK112">
        <v>2</v>
      </c>
      <c r="BL112">
        <v>72.78</v>
      </c>
      <c r="BM112">
        <v>10.92</v>
      </c>
      <c r="BN112">
        <v>83.7</v>
      </c>
      <c r="BO112">
        <v>83.7</v>
      </c>
      <c r="BQ112" t="s">
        <v>471</v>
      </c>
      <c r="BR112" t="s">
        <v>82</v>
      </c>
      <c r="BS112" s="3">
        <v>45993</v>
      </c>
      <c r="BT112" s="4">
        <v>0.4375</v>
      </c>
      <c r="BU112" t="s">
        <v>472</v>
      </c>
      <c r="BV112" t="s">
        <v>84</v>
      </c>
      <c r="BY112">
        <v>5320</v>
      </c>
      <c r="CA112" t="s">
        <v>473</v>
      </c>
      <c r="CC112" t="s">
        <v>157</v>
      </c>
      <c r="CD112">
        <v>7480</v>
      </c>
      <c r="CE112" t="s">
        <v>86</v>
      </c>
      <c r="CF112" s="3">
        <v>45994</v>
      </c>
      <c r="CI112">
        <v>1</v>
      </c>
      <c r="CJ112">
        <v>1</v>
      </c>
      <c r="CK112">
        <v>21</v>
      </c>
      <c r="CL112" t="s">
        <v>87</v>
      </c>
    </row>
    <row r="113" spans="1:90" x14ac:dyDescent="0.3">
      <c r="A113" t="s">
        <v>72</v>
      </c>
      <c r="B113" t="s">
        <v>73</v>
      </c>
      <c r="C113" t="s">
        <v>74</v>
      </c>
      <c r="E113" t="str">
        <f>"080069584697"</f>
        <v>080069584697</v>
      </c>
      <c r="F113" s="3">
        <v>45992</v>
      </c>
      <c r="G113">
        <v>202609</v>
      </c>
      <c r="H113" t="s">
        <v>75</v>
      </c>
      <c r="I113" t="s">
        <v>76</v>
      </c>
      <c r="J113" t="s">
        <v>77</v>
      </c>
      <c r="K113" t="s">
        <v>78</v>
      </c>
      <c r="L113" t="s">
        <v>265</v>
      </c>
      <c r="M113" t="s">
        <v>266</v>
      </c>
      <c r="N113" t="s">
        <v>474</v>
      </c>
      <c r="O113" t="s">
        <v>89</v>
      </c>
      <c r="P113" t="str">
        <f>"4170071322                    "</f>
        <v xml:space="preserve">4170071322                    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17.37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1</v>
      </c>
      <c r="BI113">
        <v>2</v>
      </c>
      <c r="BJ113">
        <v>4.0999999999999996</v>
      </c>
      <c r="BK113">
        <v>5</v>
      </c>
      <c r="BL113">
        <v>56.85</v>
      </c>
      <c r="BM113">
        <v>8.5299999999999994</v>
      </c>
      <c r="BN113">
        <v>65.38</v>
      </c>
      <c r="BO113">
        <v>65.38</v>
      </c>
      <c r="BQ113" t="s">
        <v>475</v>
      </c>
      <c r="BR113" t="s">
        <v>82</v>
      </c>
      <c r="BS113" s="3">
        <v>45993</v>
      </c>
      <c r="BT113" s="4">
        <v>0.34930555555555554</v>
      </c>
      <c r="BU113" t="s">
        <v>476</v>
      </c>
      <c r="BV113" t="s">
        <v>84</v>
      </c>
      <c r="BY113">
        <v>20358</v>
      </c>
      <c r="CA113" t="s">
        <v>417</v>
      </c>
      <c r="CC113" t="s">
        <v>266</v>
      </c>
      <c r="CD113">
        <v>1459</v>
      </c>
      <c r="CE113" t="s">
        <v>86</v>
      </c>
      <c r="CF113" s="3">
        <v>45994</v>
      </c>
      <c r="CI113">
        <v>1</v>
      </c>
      <c r="CJ113">
        <v>1</v>
      </c>
      <c r="CK113">
        <v>22</v>
      </c>
      <c r="CL113" t="s">
        <v>87</v>
      </c>
    </row>
    <row r="114" spans="1:90" x14ac:dyDescent="0.3">
      <c r="A114" t="s">
        <v>72</v>
      </c>
      <c r="B114" t="s">
        <v>73</v>
      </c>
      <c r="C114" t="s">
        <v>74</v>
      </c>
      <c r="E114" t="str">
        <f>"080069585020"</f>
        <v>080069585020</v>
      </c>
      <c r="F114" s="3">
        <v>45992</v>
      </c>
      <c r="G114">
        <v>202609</v>
      </c>
      <c r="H114" t="s">
        <v>75</v>
      </c>
      <c r="I114" t="s">
        <v>76</v>
      </c>
      <c r="J114" t="s">
        <v>77</v>
      </c>
      <c r="K114" t="s">
        <v>78</v>
      </c>
      <c r="L114" t="s">
        <v>295</v>
      </c>
      <c r="M114" t="s">
        <v>296</v>
      </c>
      <c r="N114" t="s">
        <v>477</v>
      </c>
      <c r="O114" t="s">
        <v>80</v>
      </c>
      <c r="P114" t="str">
        <f>"4170071344                    "</f>
        <v xml:space="preserve">4170071344                    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38.020000000000003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1</v>
      </c>
      <c r="BI114">
        <v>20</v>
      </c>
      <c r="BJ114">
        <v>9.4</v>
      </c>
      <c r="BK114">
        <v>20</v>
      </c>
      <c r="BL114">
        <v>130.54</v>
      </c>
      <c r="BM114">
        <v>19.579999999999998</v>
      </c>
      <c r="BN114">
        <v>150.12</v>
      </c>
      <c r="BO114">
        <v>150.12</v>
      </c>
      <c r="BQ114" t="s">
        <v>478</v>
      </c>
      <c r="BR114" t="s">
        <v>82</v>
      </c>
      <c r="BS114" s="3">
        <v>45993</v>
      </c>
      <c r="BT114" s="4">
        <v>0.35347222222222224</v>
      </c>
      <c r="BU114" t="s">
        <v>479</v>
      </c>
      <c r="BV114" t="s">
        <v>84</v>
      </c>
      <c r="BY114">
        <v>46800</v>
      </c>
      <c r="CA114" t="s">
        <v>301</v>
      </c>
      <c r="CC114" t="s">
        <v>296</v>
      </c>
      <c r="CD114">
        <v>1501</v>
      </c>
      <c r="CE114" t="s">
        <v>86</v>
      </c>
      <c r="CF114" s="3">
        <v>45994</v>
      </c>
      <c r="CI114">
        <v>1</v>
      </c>
      <c r="CJ114">
        <v>1</v>
      </c>
      <c r="CK114">
        <v>42</v>
      </c>
      <c r="CL114" t="s">
        <v>87</v>
      </c>
    </row>
    <row r="115" spans="1:90" x14ac:dyDescent="0.3">
      <c r="A115" t="s">
        <v>72</v>
      </c>
      <c r="B115" t="s">
        <v>73</v>
      </c>
      <c r="C115" t="s">
        <v>74</v>
      </c>
      <c r="E115" t="str">
        <f>"080069585085"</f>
        <v>080069585085</v>
      </c>
      <c r="F115" s="3">
        <v>45992</v>
      </c>
      <c r="G115">
        <v>202609</v>
      </c>
      <c r="H115" t="s">
        <v>75</v>
      </c>
      <c r="I115" t="s">
        <v>76</v>
      </c>
      <c r="J115" t="s">
        <v>77</v>
      </c>
      <c r="K115" t="s">
        <v>78</v>
      </c>
      <c r="L115" t="s">
        <v>156</v>
      </c>
      <c r="M115" t="s">
        <v>157</v>
      </c>
      <c r="N115" t="s">
        <v>261</v>
      </c>
      <c r="O115" t="s">
        <v>89</v>
      </c>
      <c r="P115" t="str">
        <f>"4170071342                    "</f>
        <v xml:space="preserve">4170071342                    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188.95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1</v>
      </c>
      <c r="BI115">
        <v>17</v>
      </c>
      <c r="BJ115">
        <v>9.4</v>
      </c>
      <c r="BK115">
        <v>17</v>
      </c>
      <c r="BL115">
        <v>618.39</v>
      </c>
      <c r="BM115">
        <v>92.76</v>
      </c>
      <c r="BN115">
        <v>711.15</v>
      </c>
      <c r="BO115">
        <v>711.15</v>
      </c>
      <c r="BQ115" t="s">
        <v>262</v>
      </c>
      <c r="BR115" t="s">
        <v>82</v>
      </c>
      <c r="BS115" s="3">
        <v>45993</v>
      </c>
      <c r="BT115" s="4">
        <v>0.42083333333333334</v>
      </c>
      <c r="BU115" t="s">
        <v>263</v>
      </c>
      <c r="BV115" t="s">
        <v>84</v>
      </c>
      <c r="BY115">
        <v>46800</v>
      </c>
      <c r="BZ115" t="s">
        <v>125</v>
      </c>
      <c r="CA115" t="s">
        <v>264</v>
      </c>
      <c r="CC115" t="s">
        <v>157</v>
      </c>
      <c r="CD115">
        <v>7441</v>
      </c>
      <c r="CE115" t="s">
        <v>147</v>
      </c>
      <c r="CF115" s="3">
        <v>45994</v>
      </c>
      <c r="CI115">
        <v>1</v>
      </c>
      <c r="CJ115">
        <v>1</v>
      </c>
      <c r="CK115">
        <v>21</v>
      </c>
      <c r="CL115" t="s">
        <v>87</v>
      </c>
    </row>
    <row r="116" spans="1:90" x14ac:dyDescent="0.3">
      <c r="A116" t="s">
        <v>72</v>
      </c>
      <c r="B116" t="s">
        <v>73</v>
      </c>
      <c r="C116" t="s">
        <v>74</v>
      </c>
      <c r="E116" t="str">
        <f>"080069585170"</f>
        <v>080069585170</v>
      </c>
      <c r="F116" s="3">
        <v>45992</v>
      </c>
      <c r="G116">
        <v>202609</v>
      </c>
      <c r="H116" t="s">
        <v>75</v>
      </c>
      <c r="I116" t="s">
        <v>76</v>
      </c>
      <c r="J116" t="s">
        <v>77</v>
      </c>
      <c r="K116" t="s">
        <v>78</v>
      </c>
      <c r="L116" t="s">
        <v>100</v>
      </c>
      <c r="M116" t="s">
        <v>101</v>
      </c>
      <c r="N116" t="s">
        <v>199</v>
      </c>
      <c r="O116" t="s">
        <v>89</v>
      </c>
      <c r="P116" t="str">
        <f>"4170071341                    "</f>
        <v xml:space="preserve">4170071341                    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133.38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1</v>
      </c>
      <c r="BI116">
        <v>12</v>
      </c>
      <c r="BJ116">
        <v>9.4</v>
      </c>
      <c r="BK116">
        <v>12</v>
      </c>
      <c r="BL116">
        <v>436.52</v>
      </c>
      <c r="BM116">
        <v>65.48</v>
      </c>
      <c r="BN116">
        <v>502</v>
      </c>
      <c r="BO116">
        <v>502</v>
      </c>
      <c r="BQ116" t="s">
        <v>200</v>
      </c>
      <c r="BR116" t="s">
        <v>82</v>
      </c>
      <c r="BS116" s="3">
        <v>45993</v>
      </c>
      <c r="BT116" s="4">
        <v>0.77847222222222223</v>
      </c>
      <c r="BU116" t="s">
        <v>480</v>
      </c>
      <c r="BV116" t="s">
        <v>87</v>
      </c>
      <c r="BW116" t="s">
        <v>246</v>
      </c>
      <c r="BX116" t="s">
        <v>294</v>
      </c>
      <c r="BY116">
        <v>46800</v>
      </c>
      <c r="CA116" t="s">
        <v>481</v>
      </c>
      <c r="CC116" t="s">
        <v>101</v>
      </c>
      <c r="CD116">
        <v>4001</v>
      </c>
      <c r="CE116" t="s">
        <v>86</v>
      </c>
      <c r="CF116" s="3">
        <v>45994</v>
      </c>
      <c r="CI116">
        <v>1</v>
      </c>
      <c r="CJ116">
        <v>1</v>
      </c>
      <c r="CK116">
        <v>21</v>
      </c>
      <c r="CL116" t="s">
        <v>87</v>
      </c>
    </row>
    <row r="117" spans="1:90" x14ac:dyDescent="0.3">
      <c r="A117" t="s">
        <v>72</v>
      </c>
      <c r="B117" t="s">
        <v>73</v>
      </c>
      <c r="C117" t="s">
        <v>74</v>
      </c>
      <c r="E117" t="str">
        <f>"080069585394"</f>
        <v>080069585394</v>
      </c>
      <c r="F117" s="3">
        <v>45992</v>
      </c>
      <c r="G117">
        <v>202609</v>
      </c>
      <c r="H117" t="s">
        <v>75</v>
      </c>
      <c r="I117" t="s">
        <v>76</v>
      </c>
      <c r="J117" t="s">
        <v>77</v>
      </c>
      <c r="K117" t="s">
        <v>78</v>
      </c>
      <c r="L117" t="s">
        <v>482</v>
      </c>
      <c r="M117" t="s">
        <v>483</v>
      </c>
      <c r="N117" t="s">
        <v>484</v>
      </c>
      <c r="O117" t="s">
        <v>89</v>
      </c>
      <c r="P117" t="str">
        <f>"4170071331                    "</f>
        <v xml:space="preserve">4170071331                    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43.09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1</v>
      </c>
      <c r="BI117">
        <v>1</v>
      </c>
      <c r="BJ117">
        <v>0.2</v>
      </c>
      <c r="BK117">
        <v>1</v>
      </c>
      <c r="BL117">
        <v>141.02000000000001</v>
      </c>
      <c r="BM117">
        <v>21.15</v>
      </c>
      <c r="BN117">
        <v>162.16999999999999</v>
      </c>
      <c r="BO117">
        <v>162.16999999999999</v>
      </c>
      <c r="BQ117" t="s">
        <v>485</v>
      </c>
      <c r="BR117" t="s">
        <v>82</v>
      </c>
      <c r="BS117" s="3">
        <v>45993</v>
      </c>
      <c r="BT117" s="4">
        <v>0.42222222222222222</v>
      </c>
      <c r="BU117" t="s">
        <v>176</v>
      </c>
      <c r="BV117" t="s">
        <v>84</v>
      </c>
      <c r="BY117">
        <v>1200</v>
      </c>
      <c r="CA117">
        <v>7711215278081</v>
      </c>
      <c r="CC117" t="s">
        <v>483</v>
      </c>
      <c r="CD117">
        <v>1873</v>
      </c>
      <c r="CE117" t="s">
        <v>134</v>
      </c>
      <c r="CF117" s="3">
        <v>45994</v>
      </c>
      <c r="CI117">
        <v>1</v>
      </c>
      <c r="CJ117">
        <v>1</v>
      </c>
      <c r="CK117">
        <v>23</v>
      </c>
      <c r="CL117" t="s">
        <v>87</v>
      </c>
    </row>
    <row r="118" spans="1:90" x14ac:dyDescent="0.3">
      <c r="A118" t="s">
        <v>72</v>
      </c>
      <c r="B118" t="s">
        <v>73</v>
      </c>
      <c r="C118" t="s">
        <v>74</v>
      </c>
      <c r="E118" t="str">
        <f>"080069585429"</f>
        <v>080069585429</v>
      </c>
      <c r="F118" s="3">
        <v>45992</v>
      </c>
      <c r="G118">
        <v>202609</v>
      </c>
      <c r="H118" t="s">
        <v>75</v>
      </c>
      <c r="I118" t="s">
        <v>76</v>
      </c>
      <c r="J118" t="s">
        <v>77</v>
      </c>
      <c r="K118" t="s">
        <v>78</v>
      </c>
      <c r="L118" t="s">
        <v>141</v>
      </c>
      <c r="M118" t="s">
        <v>142</v>
      </c>
      <c r="N118" t="s">
        <v>486</v>
      </c>
      <c r="O118" t="s">
        <v>89</v>
      </c>
      <c r="P118" t="str">
        <f>"4170071330                    "</f>
        <v xml:space="preserve">4170071330                    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22.24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1</v>
      </c>
      <c r="BI118">
        <v>1</v>
      </c>
      <c r="BJ118">
        <v>0.2</v>
      </c>
      <c r="BK118">
        <v>1</v>
      </c>
      <c r="BL118">
        <v>72.78</v>
      </c>
      <c r="BM118">
        <v>10.92</v>
      </c>
      <c r="BN118">
        <v>83.7</v>
      </c>
      <c r="BO118">
        <v>83.7</v>
      </c>
      <c r="BQ118" t="s">
        <v>487</v>
      </c>
      <c r="BR118" t="s">
        <v>82</v>
      </c>
      <c r="BS118" s="3">
        <v>45993</v>
      </c>
      <c r="BT118" s="4">
        <v>0.40486111111111112</v>
      </c>
      <c r="BU118" t="s">
        <v>488</v>
      </c>
      <c r="BV118" t="s">
        <v>84</v>
      </c>
      <c r="BY118">
        <v>1200</v>
      </c>
      <c r="BZ118" t="s">
        <v>125</v>
      </c>
      <c r="CA118" t="s">
        <v>489</v>
      </c>
      <c r="CC118" t="s">
        <v>142</v>
      </c>
      <c r="CD118">
        <v>6012</v>
      </c>
      <c r="CE118" t="s">
        <v>127</v>
      </c>
      <c r="CF118" s="3">
        <v>45993</v>
      </c>
      <c r="CI118">
        <v>1</v>
      </c>
      <c r="CJ118">
        <v>1</v>
      </c>
      <c r="CK118">
        <v>21</v>
      </c>
      <c r="CL118" t="s">
        <v>87</v>
      </c>
    </row>
    <row r="119" spans="1:90" x14ac:dyDescent="0.3">
      <c r="A119" t="s">
        <v>72</v>
      </c>
      <c r="B119" t="s">
        <v>73</v>
      </c>
      <c r="C119" t="s">
        <v>74</v>
      </c>
      <c r="E119" t="str">
        <f>"080069585460"</f>
        <v>080069585460</v>
      </c>
      <c r="F119" s="3">
        <v>45992</v>
      </c>
      <c r="G119">
        <v>202609</v>
      </c>
      <c r="H119" t="s">
        <v>75</v>
      </c>
      <c r="I119" t="s">
        <v>76</v>
      </c>
      <c r="J119" t="s">
        <v>77</v>
      </c>
      <c r="K119" t="s">
        <v>78</v>
      </c>
      <c r="L119" t="s">
        <v>176</v>
      </c>
      <c r="M119" t="s">
        <v>177</v>
      </c>
      <c r="N119" t="s">
        <v>490</v>
      </c>
      <c r="O119" t="s">
        <v>89</v>
      </c>
      <c r="P119" t="str">
        <f>"4170071324                    "</f>
        <v xml:space="preserve">4170071324                    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17.37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1</v>
      </c>
      <c r="BI119">
        <v>1</v>
      </c>
      <c r="BJ119">
        <v>0.2</v>
      </c>
      <c r="BK119">
        <v>1</v>
      </c>
      <c r="BL119">
        <v>56.85</v>
      </c>
      <c r="BM119">
        <v>8.5299999999999994</v>
      </c>
      <c r="BN119">
        <v>65.38</v>
      </c>
      <c r="BO119">
        <v>65.38</v>
      </c>
      <c r="BQ119" t="s">
        <v>491</v>
      </c>
      <c r="BR119" t="s">
        <v>82</v>
      </c>
      <c r="BS119" s="3">
        <v>45993</v>
      </c>
      <c r="BT119" s="4">
        <v>0.40277777777777779</v>
      </c>
      <c r="BU119" t="s">
        <v>492</v>
      </c>
      <c r="BV119" t="s">
        <v>84</v>
      </c>
      <c r="BY119">
        <v>1200</v>
      </c>
      <c r="CA119" t="s">
        <v>493</v>
      </c>
      <c r="CC119" t="s">
        <v>177</v>
      </c>
      <c r="CD119">
        <v>2169</v>
      </c>
      <c r="CE119" t="s">
        <v>134</v>
      </c>
      <c r="CF119" s="3">
        <v>45994</v>
      </c>
      <c r="CI119">
        <v>1</v>
      </c>
      <c r="CJ119">
        <v>1</v>
      </c>
      <c r="CK119">
        <v>22</v>
      </c>
      <c r="CL119" t="s">
        <v>87</v>
      </c>
    </row>
    <row r="120" spans="1:90" x14ac:dyDescent="0.3">
      <c r="A120" t="s">
        <v>72</v>
      </c>
      <c r="B120" t="s">
        <v>73</v>
      </c>
      <c r="C120" t="s">
        <v>74</v>
      </c>
      <c r="E120" t="str">
        <f>"080069585499"</f>
        <v>080069585499</v>
      </c>
      <c r="F120" s="3">
        <v>45992</v>
      </c>
      <c r="G120">
        <v>202609</v>
      </c>
      <c r="H120" t="s">
        <v>75</v>
      </c>
      <c r="I120" t="s">
        <v>76</v>
      </c>
      <c r="J120" t="s">
        <v>77</v>
      </c>
      <c r="K120" t="s">
        <v>78</v>
      </c>
      <c r="L120" t="s">
        <v>75</v>
      </c>
      <c r="M120" t="s">
        <v>76</v>
      </c>
      <c r="N120" t="s">
        <v>494</v>
      </c>
      <c r="O120" t="s">
        <v>89</v>
      </c>
      <c r="P120" t="str">
        <f>"4170071336                    "</f>
        <v xml:space="preserve">4170071336                    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17.37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1</v>
      </c>
      <c r="BI120">
        <v>1</v>
      </c>
      <c r="BJ120">
        <v>0.2</v>
      </c>
      <c r="BK120">
        <v>1</v>
      </c>
      <c r="BL120">
        <v>56.85</v>
      </c>
      <c r="BM120">
        <v>8.5299999999999994</v>
      </c>
      <c r="BN120">
        <v>65.38</v>
      </c>
      <c r="BO120">
        <v>65.38</v>
      </c>
      <c r="BQ120" t="s">
        <v>495</v>
      </c>
      <c r="BR120" t="s">
        <v>82</v>
      </c>
      <c r="BS120" s="3">
        <v>45993</v>
      </c>
      <c r="BT120" s="4">
        <v>0.40555555555555556</v>
      </c>
      <c r="BU120" t="s">
        <v>496</v>
      </c>
      <c r="BV120" t="s">
        <v>84</v>
      </c>
      <c r="BY120">
        <v>1200</v>
      </c>
      <c r="CA120" t="s">
        <v>497</v>
      </c>
      <c r="CC120" t="s">
        <v>76</v>
      </c>
      <c r="CD120">
        <v>1614</v>
      </c>
      <c r="CE120" t="s">
        <v>134</v>
      </c>
      <c r="CF120" s="3">
        <v>45994</v>
      </c>
      <c r="CI120">
        <v>1</v>
      </c>
      <c r="CJ120">
        <v>1</v>
      </c>
      <c r="CK120">
        <v>22</v>
      </c>
      <c r="CL120" t="s">
        <v>87</v>
      </c>
    </row>
    <row r="121" spans="1:90" x14ac:dyDescent="0.3">
      <c r="A121" t="s">
        <v>72</v>
      </c>
      <c r="B121" t="s">
        <v>73</v>
      </c>
      <c r="C121" t="s">
        <v>74</v>
      </c>
      <c r="E121" t="str">
        <f>"080069585538"</f>
        <v>080069585538</v>
      </c>
      <c r="F121" s="3">
        <v>45992</v>
      </c>
      <c r="G121">
        <v>202609</v>
      </c>
      <c r="H121" t="s">
        <v>75</v>
      </c>
      <c r="I121" t="s">
        <v>76</v>
      </c>
      <c r="J121" t="s">
        <v>77</v>
      </c>
      <c r="K121" t="s">
        <v>78</v>
      </c>
      <c r="L121" t="s">
        <v>100</v>
      </c>
      <c r="M121" t="s">
        <v>101</v>
      </c>
      <c r="N121" t="s">
        <v>498</v>
      </c>
      <c r="O121" t="s">
        <v>89</v>
      </c>
      <c r="P121" t="str">
        <f>"4170071334                    "</f>
        <v xml:space="preserve">4170071334                    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22.24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1</v>
      </c>
      <c r="BI121">
        <v>2</v>
      </c>
      <c r="BJ121">
        <v>1.8</v>
      </c>
      <c r="BK121">
        <v>2</v>
      </c>
      <c r="BL121">
        <v>72.78</v>
      </c>
      <c r="BM121">
        <v>10.92</v>
      </c>
      <c r="BN121">
        <v>83.7</v>
      </c>
      <c r="BO121">
        <v>83.7</v>
      </c>
      <c r="BQ121" t="s">
        <v>499</v>
      </c>
      <c r="BR121" t="s">
        <v>82</v>
      </c>
      <c r="BS121" t="s">
        <v>500</v>
      </c>
      <c r="BY121">
        <v>9216</v>
      </c>
      <c r="CC121" t="s">
        <v>101</v>
      </c>
      <c r="CD121">
        <v>4052</v>
      </c>
      <c r="CE121" t="s">
        <v>93</v>
      </c>
      <c r="CI121">
        <v>1</v>
      </c>
      <c r="CJ121" t="s">
        <v>500</v>
      </c>
      <c r="CK121">
        <v>21</v>
      </c>
      <c r="CL121" t="s">
        <v>87</v>
      </c>
    </row>
    <row r="122" spans="1:90" x14ac:dyDescent="0.3">
      <c r="A122" t="s">
        <v>72</v>
      </c>
      <c r="B122" t="s">
        <v>73</v>
      </c>
      <c r="C122" t="s">
        <v>74</v>
      </c>
      <c r="E122" t="str">
        <f>"080069585586"</f>
        <v>080069585586</v>
      </c>
      <c r="F122" s="3">
        <v>45992</v>
      </c>
      <c r="G122">
        <v>202609</v>
      </c>
      <c r="H122" t="s">
        <v>75</v>
      </c>
      <c r="I122" t="s">
        <v>76</v>
      </c>
      <c r="J122" t="s">
        <v>77</v>
      </c>
      <c r="K122" t="s">
        <v>78</v>
      </c>
      <c r="L122" t="s">
        <v>283</v>
      </c>
      <c r="M122" t="s">
        <v>284</v>
      </c>
      <c r="N122" t="s">
        <v>285</v>
      </c>
      <c r="O122" t="s">
        <v>89</v>
      </c>
      <c r="P122" t="str">
        <f>"4170071228                    "</f>
        <v xml:space="preserve">4170071228                    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43.09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1</v>
      </c>
      <c r="BI122">
        <v>2</v>
      </c>
      <c r="BJ122">
        <v>1.4</v>
      </c>
      <c r="BK122">
        <v>2</v>
      </c>
      <c r="BL122">
        <v>141.02000000000001</v>
      </c>
      <c r="BM122">
        <v>21.15</v>
      </c>
      <c r="BN122">
        <v>162.16999999999999</v>
      </c>
      <c r="BO122">
        <v>162.16999999999999</v>
      </c>
      <c r="BQ122" t="s">
        <v>286</v>
      </c>
      <c r="BR122" t="s">
        <v>82</v>
      </c>
      <c r="BS122" s="3">
        <v>45993</v>
      </c>
      <c r="BT122" s="4">
        <v>0.34861111111111109</v>
      </c>
      <c r="BU122" t="s">
        <v>501</v>
      </c>
      <c r="BV122" t="s">
        <v>84</v>
      </c>
      <c r="BY122">
        <v>7000</v>
      </c>
      <c r="BZ122" t="s">
        <v>125</v>
      </c>
      <c r="CA122">
        <v>6805135560080</v>
      </c>
      <c r="CC122" t="s">
        <v>284</v>
      </c>
      <c r="CD122">
        <v>1947</v>
      </c>
      <c r="CE122" t="s">
        <v>147</v>
      </c>
      <c r="CF122" s="3">
        <v>45993</v>
      </c>
      <c r="CI122">
        <v>1</v>
      </c>
      <c r="CJ122">
        <v>1</v>
      </c>
      <c r="CK122">
        <v>23</v>
      </c>
      <c r="CL122" t="s">
        <v>87</v>
      </c>
    </row>
    <row r="123" spans="1:90" x14ac:dyDescent="0.3">
      <c r="A123" t="s">
        <v>72</v>
      </c>
      <c r="B123" t="s">
        <v>73</v>
      </c>
      <c r="C123" t="s">
        <v>74</v>
      </c>
      <c r="E123" t="str">
        <f>"080069585637"</f>
        <v>080069585637</v>
      </c>
      <c r="F123" s="3">
        <v>45992</v>
      </c>
      <c r="G123">
        <v>202609</v>
      </c>
      <c r="H123" t="s">
        <v>75</v>
      </c>
      <c r="I123" t="s">
        <v>76</v>
      </c>
      <c r="J123" t="s">
        <v>77</v>
      </c>
      <c r="K123" t="s">
        <v>78</v>
      </c>
      <c r="L123" t="s">
        <v>502</v>
      </c>
      <c r="M123" t="s">
        <v>503</v>
      </c>
      <c r="N123" t="s">
        <v>504</v>
      </c>
      <c r="O123" t="s">
        <v>89</v>
      </c>
      <c r="P123" t="str">
        <f>"4170071240                    "</f>
        <v xml:space="preserve">4170071240                    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17.37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1</v>
      </c>
      <c r="BI123">
        <v>1</v>
      </c>
      <c r="BJ123">
        <v>1.1000000000000001</v>
      </c>
      <c r="BK123">
        <v>2</v>
      </c>
      <c r="BL123">
        <v>56.85</v>
      </c>
      <c r="BM123">
        <v>8.5299999999999994</v>
      </c>
      <c r="BN123">
        <v>65.38</v>
      </c>
      <c r="BO123">
        <v>65.38</v>
      </c>
      <c r="BQ123" t="s">
        <v>505</v>
      </c>
      <c r="BR123" t="s">
        <v>82</v>
      </c>
      <c r="BS123" s="3">
        <v>45993</v>
      </c>
      <c r="BT123" s="4">
        <v>0.36388888888888887</v>
      </c>
      <c r="BU123" t="s">
        <v>506</v>
      </c>
      <c r="BV123" t="s">
        <v>84</v>
      </c>
      <c r="BY123">
        <v>5510</v>
      </c>
      <c r="CA123" t="s">
        <v>507</v>
      </c>
      <c r="CC123" t="s">
        <v>503</v>
      </c>
      <c r="CD123">
        <v>1559</v>
      </c>
      <c r="CE123" t="s">
        <v>86</v>
      </c>
      <c r="CF123" s="3">
        <v>45993</v>
      </c>
      <c r="CI123">
        <v>1</v>
      </c>
      <c r="CJ123">
        <v>1</v>
      </c>
      <c r="CK123">
        <v>22</v>
      </c>
      <c r="CL123" t="s">
        <v>87</v>
      </c>
    </row>
    <row r="124" spans="1:90" x14ac:dyDescent="0.3">
      <c r="A124" t="s">
        <v>72</v>
      </c>
      <c r="B124" t="s">
        <v>73</v>
      </c>
      <c r="C124" t="s">
        <v>74</v>
      </c>
      <c r="E124" t="str">
        <f>"080069585932"</f>
        <v>080069585932</v>
      </c>
      <c r="F124" s="3">
        <v>45992</v>
      </c>
      <c r="G124">
        <v>202609</v>
      </c>
      <c r="H124" t="s">
        <v>75</v>
      </c>
      <c r="I124" t="s">
        <v>76</v>
      </c>
      <c r="J124" t="s">
        <v>77</v>
      </c>
      <c r="K124" t="s">
        <v>78</v>
      </c>
      <c r="L124" t="s">
        <v>156</v>
      </c>
      <c r="M124" t="s">
        <v>157</v>
      </c>
      <c r="N124" t="s">
        <v>508</v>
      </c>
      <c r="O124" t="s">
        <v>89</v>
      </c>
      <c r="P124" t="str">
        <f>"4170071211                    "</f>
        <v xml:space="preserve">4170071211                    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22.24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1</v>
      </c>
      <c r="BI124">
        <v>1</v>
      </c>
      <c r="BJ124">
        <v>0.2</v>
      </c>
      <c r="BK124">
        <v>1</v>
      </c>
      <c r="BL124">
        <v>72.78</v>
      </c>
      <c r="BM124">
        <v>10.92</v>
      </c>
      <c r="BN124">
        <v>83.7</v>
      </c>
      <c r="BO124">
        <v>83.7</v>
      </c>
      <c r="BQ124" t="s">
        <v>509</v>
      </c>
      <c r="BR124" t="s">
        <v>82</v>
      </c>
      <c r="BS124" s="3">
        <v>45993</v>
      </c>
      <c r="BT124" s="4">
        <v>0.50208333333333333</v>
      </c>
      <c r="BU124" t="s">
        <v>510</v>
      </c>
      <c r="BV124" t="s">
        <v>87</v>
      </c>
      <c r="BW124" t="s">
        <v>153</v>
      </c>
      <c r="BX124" t="s">
        <v>161</v>
      </c>
      <c r="BY124">
        <v>1200</v>
      </c>
      <c r="CA124" t="s">
        <v>162</v>
      </c>
      <c r="CC124" t="s">
        <v>157</v>
      </c>
      <c r="CD124">
        <v>7530</v>
      </c>
      <c r="CE124" t="s">
        <v>134</v>
      </c>
      <c r="CF124" s="3">
        <v>45994</v>
      </c>
      <c r="CI124">
        <v>1</v>
      </c>
      <c r="CJ124">
        <v>1</v>
      </c>
      <c r="CK124">
        <v>21</v>
      </c>
      <c r="CL124" t="s">
        <v>87</v>
      </c>
    </row>
    <row r="125" spans="1:90" x14ac:dyDescent="0.3">
      <c r="A125" t="s">
        <v>72</v>
      </c>
      <c r="B125" t="s">
        <v>73</v>
      </c>
      <c r="C125" t="s">
        <v>74</v>
      </c>
      <c r="E125" t="str">
        <f>"080069585972"</f>
        <v>080069585972</v>
      </c>
      <c r="F125" s="3">
        <v>45992</v>
      </c>
      <c r="G125">
        <v>202609</v>
      </c>
      <c r="H125" t="s">
        <v>75</v>
      </c>
      <c r="I125" t="s">
        <v>76</v>
      </c>
      <c r="J125" t="s">
        <v>77</v>
      </c>
      <c r="K125" t="s">
        <v>78</v>
      </c>
      <c r="L125" t="s">
        <v>109</v>
      </c>
      <c r="M125" t="s">
        <v>110</v>
      </c>
      <c r="N125" t="s">
        <v>511</v>
      </c>
      <c r="O125" t="s">
        <v>89</v>
      </c>
      <c r="P125" t="str">
        <f>"4170071351                    "</f>
        <v xml:space="preserve">4170071351                    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31.28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1</v>
      </c>
      <c r="BI125">
        <v>1</v>
      </c>
      <c r="BJ125">
        <v>0.2</v>
      </c>
      <c r="BK125">
        <v>1</v>
      </c>
      <c r="BL125">
        <v>102.36</v>
      </c>
      <c r="BM125">
        <v>15.35</v>
      </c>
      <c r="BN125">
        <v>117.71</v>
      </c>
      <c r="BO125">
        <v>117.71</v>
      </c>
      <c r="BQ125" t="s">
        <v>512</v>
      </c>
      <c r="BR125" t="s">
        <v>82</v>
      </c>
      <c r="BS125" s="3">
        <v>46000</v>
      </c>
      <c r="BT125" s="4">
        <v>0.4375</v>
      </c>
      <c r="BU125" t="s">
        <v>513</v>
      </c>
      <c r="BV125" t="s">
        <v>87</v>
      </c>
      <c r="BW125" t="s">
        <v>174</v>
      </c>
      <c r="BX125" t="s">
        <v>514</v>
      </c>
      <c r="BY125">
        <v>1200</v>
      </c>
      <c r="CC125" t="s">
        <v>110</v>
      </c>
      <c r="CD125">
        <v>1748</v>
      </c>
      <c r="CE125" t="s">
        <v>134</v>
      </c>
      <c r="CF125" s="3">
        <v>46001</v>
      </c>
      <c r="CI125">
        <v>1</v>
      </c>
      <c r="CJ125">
        <v>6</v>
      </c>
      <c r="CK125">
        <v>24</v>
      </c>
      <c r="CL125" t="s">
        <v>87</v>
      </c>
    </row>
    <row r="126" spans="1:90" x14ac:dyDescent="0.3">
      <c r="A126" t="s">
        <v>72</v>
      </c>
      <c r="B126" t="s">
        <v>73</v>
      </c>
      <c r="C126" t="s">
        <v>74</v>
      </c>
      <c r="E126" t="str">
        <f>"080069586026"</f>
        <v>080069586026</v>
      </c>
      <c r="F126" s="3">
        <v>45992</v>
      </c>
      <c r="G126">
        <v>202609</v>
      </c>
      <c r="H126" t="s">
        <v>75</v>
      </c>
      <c r="I126" t="s">
        <v>76</v>
      </c>
      <c r="J126" t="s">
        <v>77</v>
      </c>
      <c r="K126" t="s">
        <v>78</v>
      </c>
      <c r="L126" t="s">
        <v>189</v>
      </c>
      <c r="M126" t="s">
        <v>190</v>
      </c>
      <c r="N126" t="s">
        <v>308</v>
      </c>
      <c r="O126" t="s">
        <v>89</v>
      </c>
      <c r="P126" t="str">
        <f>"4170071319                    "</f>
        <v xml:space="preserve">4170071319                    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188.95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17.41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2</v>
      </c>
      <c r="BI126">
        <v>16.899999999999999</v>
      </c>
      <c r="BJ126">
        <v>8.1999999999999993</v>
      </c>
      <c r="BK126">
        <v>17</v>
      </c>
      <c r="BL126">
        <v>635.79999999999995</v>
      </c>
      <c r="BM126">
        <v>95.37</v>
      </c>
      <c r="BN126">
        <v>731.17</v>
      </c>
      <c r="BO126">
        <v>731.17</v>
      </c>
      <c r="BQ126" t="s">
        <v>309</v>
      </c>
      <c r="BR126" t="s">
        <v>82</v>
      </c>
      <c r="BS126" s="3">
        <v>45994</v>
      </c>
      <c r="BT126" s="4">
        <v>0.45833333333333331</v>
      </c>
      <c r="BU126" t="s">
        <v>310</v>
      </c>
      <c r="BV126" t="s">
        <v>87</v>
      </c>
      <c r="BY126">
        <v>40938.269999999997</v>
      </c>
      <c r="BZ126" t="s">
        <v>30</v>
      </c>
      <c r="CA126" t="s">
        <v>311</v>
      </c>
      <c r="CC126" t="s">
        <v>190</v>
      </c>
      <c r="CD126">
        <v>3699</v>
      </c>
      <c r="CE126" t="s">
        <v>134</v>
      </c>
      <c r="CF126" s="3">
        <v>45995</v>
      </c>
      <c r="CI126">
        <v>1</v>
      </c>
      <c r="CJ126">
        <v>2</v>
      </c>
      <c r="CK126">
        <v>21</v>
      </c>
      <c r="CL126" t="s">
        <v>87</v>
      </c>
    </row>
    <row r="127" spans="1:90" x14ac:dyDescent="0.3">
      <c r="A127" t="s">
        <v>72</v>
      </c>
      <c r="B127" t="s">
        <v>73</v>
      </c>
      <c r="C127" t="s">
        <v>74</v>
      </c>
      <c r="E127" t="str">
        <f>"080069586033"</f>
        <v>080069586033</v>
      </c>
      <c r="F127" s="3">
        <v>45992</v>
      </c>
      <c r="G127">
        <v>202609</v>
      </c>
      <c r="H127" t="s">
        <v>75</v>
      </c>
      <c r="I127" t="s">
        <v>76</v>
      </c>
      <c r="J127" t="s">
        <v>77</v>
      </c>
      <c r="K127" t="s">
        <v>78</v>
      </c>
      <c r="L127" t="s">
        <v>141</v>
      </c>
      <c r="M127" t="s">
        <v>142</v>
      </c>
      <c r="N127" t="s">
        <v>324</v>
      </c>
      <c r="O127" t="s">
        <v>89</v>
      </c>
      <c r="P127" t="str">
        <f>"4170071325                    "</f>
        <v xml:space="preserve">4170071325                    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22.24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1</v>
      </c>
      <c r="BI127">
        <v>1</v>
      </c>
      <c r="BJ127">
        <v>0.2</v>
      </c>
      <c r="BK127">
        <v>1</v>
      </c>
      <c r="BL127">
        <v>72.78</v>
      </c>
      <c r="BM127">
        <v>10.92</v>
      </c>
      <c r="BN127">
        <v>83.7</v>
      </c>
      <c r="BO127">
        <v>83.7</v>
      </c>
      <c r="BQ127" t="s">
        <v>325</v>
      </c>
      <c r="BR127" t="s">
        <v>82</v>
      </c>
      <c r="BS127" s="3">
        <v>45993</v>
      </c>
      <c r="BT127" s="4">
        <v>0.42777777777777776</v>
      </c>
      <c r="BU127" t="s">
        <v>326</v>
      </c>
      <c r="BV127" t="s">
        <v>84</v>
      </c>
      <c r="BY127">
        <v>1200</v>
      </c>
      <c r="BZ127" t="s">
        <v>125</v>
      </c>
      <c r="CA127" t="s">
        <v>327</v>
      </c>
      <c r="CC127" t="s">
        <v>142</v>
      </c>
      <c r="CD127">
        <v>6001</v>
      </c>
      <c r="CE127" t="s">
        <v>127</v>
      </c>
      <c r="CF127" s="3">
        <v>45993</v>
      </c>
      <c r="CI127">
        <v>1</v>
      </c>
      <c r="CJ127">
        <v>1</v>
      </c>
      <c r="CK127">
        <v>21</v>
      </c>
      <c r="CL127" t="s">
        <v>87</v>
      </c>
    </row>
    <row r="128" spans="1:90" x14ac:dyDescent="0.3">
      <c r="A128" t="s">
        <v>72</v>
      </c>
      <c r="B128" t="s">
        <v>73</v>
      </c>
      <c r="C128" t="s">
        <v>74</v>
      </c>
      <c r="E128" t="str">
        <f>"080069586077"</f>
        <v>080069586077</v>
      </c>
      <c r="F128" s="3">
        <v>45992</v>
      </c>
      <c r="G128">
        <v>202609</v>
      </c>
      <c r="H128" t="s">
        <v>75</v>
      </c>
      <c r="I128" t="s">
        <v>76</v>
      </c>
      <c r="J128" t="s">
        <v>77</v>
      </c>
      <c r="K128" t="s">
        <v>78</v>
      </c>
      <c r="L128" t="s">
        <v>515</v>
      </c>
      <c r="M128" t="s">
        <v>516</v>
      </c>
      <c r="N128" t="s">
        <v>517</v>
      </c>
      <c r="O128" t="s">
        <v>89</v>
      </c>
      <c r="P128" t="str">
        <f>"4170071332                    "</f>
        <v xml:space="preserve">4170071332                    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43.09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1</v>
      </c>
      <c r="BI128">
        <v>1</v>
      </c>
      <c r="BJ128">
        <v>1.1000000000000001</v>
      </c>
      <c r="BK128">
        <v>1.5</v>
      </c>
      <c r="BL128">
        <v>141.02000000000001</v>
      </c>
      <c r="BM128">
        <v>21.15</v>
      </c>
      <c r="BN128">
        <v>162.16999999999999</v>
      </c>
      <c r="BO128">
        <v>162.16999999999999</v>
      </c>
      <c r="BQ128" t="s">
        <v>518</v>
      </c>
      <c r="BR128" t="s">
        <v>82</v>
      </c>
      <c r="BS128" s="3">
        <v>45993</v>
      </c>
      <c r="BT128" s="4">
        <v>0.40972222222222221</v>
      </c>
      <c r="BU128" t="s">
        <v>519</v>
      </c>
      <c r="BV128" t="s">
        <v>84</v>
      </c>
      <c r="BY128">
        <v>5510</v>
      </c>
      <c r="CA128" t="s">
        <v>520</v>
      </c>
      <c r="CC128" t="s">
        <v>516</v>
      </c>
      <c r="CD128">
        <v>6300</v>
      </c>
      <c r="CE128" t="s">
        <v>86</v>
      </c>
      <c r="CF128" s="3">
        <v>45993</v>
      </c>
      <c r="CI128">
        <v>2</v>
      </c>
      <c r="CJ128">
        <v>1</v>
      </c>
      <c r="CK128">
        <v>23</v>
      </c>
      <c r="CL128" t="s">
        <v>87</v>
      </c>
    </row>
    <row r="129" spans="1:90" x14ac:dyDescent="0.3">
      <c r="A129" t="s">
        <v>72</v>
      </c>
      <c r="B129" t="s">
        <v>73</v>
      </c>
      <c r="C129" t="s">
        <v>74</v>
      </c>
      <c r="E129" t="str">
        <f>"080069586123"</f>
        <v>080069586123</v>
      </c>
      <c r="F129" s="3">
        <v>45992</v>
      </c>
      <c r="G129">
        <v>202609</v>
      </c>
      <c r="H129" t="s">
        <v>75</v>
      </c>
      <c r="I129" t="s">
        <v>76</v>
      </c>
      <c r="J129" t="s">
        <v>77</v>
      </c>
      <c r="K129" t="s">
        <v>78</v>
      </c>
      <c r="L129" t="s">
        <v>482</v>
      </c>
      <c r="M129" t="s">
        <v>483</v>
      </c>
      <c r="N129" t="s">
        <v>484</v>
      </c>
      <c r="O129" t="s">
        <v>89</v>
      </c>
      <c r="P129" t="str">
        <f>"4170071329                    "</f>
        <v xml:space="preserve">4170071329                    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43.09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1</v>
      </c>
      <c r="BI129">
        <v>1</v>
      </c>
      <c r="BJ129">
        <v>1.4</v>
      </c>
      <c r="BK129">
        <v>1.5</v>
      </c>
      <c r="BL129">
        <v>141.02000000000001</v>
      </c>
      <c r="BM129">
        <v>21.15</v>
      </c>
      <c r="BN129">
        <v>162.16999999999999</v>
      </c>
      <c r="BO129">
        <v>162.16999999999999</v>
      </c>
      <c r="BQ129" t="s">
        <v>485</v>
      </c>
      <c r="BR129" t="s">
        <v>82</v>
      </c>
      <c r="BS129" s="3">
        <v>45993</v>
      </c>
      <c r="BT129" s="4">
        <v>0.41875000000000001</v>
      </c>
      <c r="BU129" t="s">
        <v>176</v>
      </c>
      <c r="BV129" t="s">
        <v>84</v>
      </c>
      <c r="BY129">
        <v>7000</v>
      </c>
      <c r="CA129">
        <v>7711215278081</v>
      </c>
      <c r="CC129" t="s">
        <v>483</v>
      </c>
      <c r="CD129">
        <v>1873</v>
      </c>
      <c r="CE129" t="s">
        <v>86</v>
      </c>
      <c r="CF129" s="3">
        <v>45994</v>
      </c>
      <c r="CI129">
        <v>1</v>
      </c>
      <c r="CJ129">
        <v>1</v>
      </c>
      <c r="CK129">
        <v>23</v>
      </c>
      <c r="CL129" t="s">
        <v>87</v>
      </c>
    </row>
    <row r="130" spans="1:90" x14ac:dyDescent="0.3">
      <c r="A130" t="s">
        <v>72</v>
      </c>
      <c r="B130" t="s">
        <v>73</v>
      </c>
      <c r="C130" t="s">
        <v>74</v>
      </c>
      <c r="E130" t="str">
        <f>"080069586341"</f>
        <v>080069586341</v>
      </c>
      <c r="F130" s="3">
        <v>45992</v>
      </c>
      <c r="G130">
        <v>202609</v>
      </c>
      <c r="H130" t="s">
        <v>75</v>
      </c>
      <c r="I130" t="s">
        <v>76</v>
      </c>
      <c r="J130" t="s">
        <v>77</v>
      </c>
      <c r="K130" t="s">
        <v>78</v>
      </c>
      <c r="L130" t="s">
        <v>265</v>
      </c>
      <c r="M130" t="s">
        <v>266</v>
      </c>
      <c r="N130" t="s">
        <v>414</v>
      </c>
      <c r="O130" t="s">
        <v>89</v>
      </c>
      <c r="P130" t="str">
        <f>"4170071242                    "</f>
        <v xml:space="preserve">4170071242                    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17.37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1</v>
      </c>
      <c r="BI130">
        <v>1</v>
      </c>
      <c r="BJ130">
        <v>1.1000000000000001</v>
      </c>
      <c r="BK130">
        <v>2</v>
      </c>
      <c r="BL130">
        <v>56.85</v>
      </c>
      <c r="BM130">
        <v>8.5299999999999994</v>
      </c>
      <c r="BN130">
        <v>65.38</v>
      </c>
      <c r="BO130">
        <v>65.38</v>
      </c>
      <c r="BQ130" t="s">
        <v>415</v>
      </c>
      <c r="BR130" t="s">
        <v>82</v>
      </c>
      <c r="BS130" s="3">
        <v>45993</v>
      </c>
      <c r="BT130" s="4">
        <v>0.31388888888888888</v>
      </c>
      <c r="BU130" t="s">
        <v>416</v>
      </c>
      <c r="BV130" t="s">
        <v>84</v>
      </c>
      <c r="BY130">
        <v>5510</v>
      </c>
      <c r="CA130" t="s">
        <v>417</v>
      </c>
      <c r="CC130" t="s">
        <v>266</v>
      </c>
      <c r="CD130">
        <v>1459</v>
      </c>
      <c r="CE130" t="s">
        <v>86</v>
      </c>
      <c r="CF130" s="3">
        <v>45994</v>
      </c>
      <c r="CI130">
        <v>1</v>
      </c>
      <c r="CJ130">
        <v>1</v>
      </c>
      <c r="CK130">
        <v>22</v>
      </c>
      <c r="CL130" t="s">
        <v>87</v>
      </c>
    </row>
    <row r="131" spans="1:90" x14ac:dyDescent="0.3">
      <c r="A131" t="s">
        <v>72</v>
      </c>
      <c r="B131" t="s">
        <v>73</v>
      </c>
      <c r="C131" t="s">
        <v>74</v>
      </c>
      <c r="E131" t="str">
        <f>"080069586453"</f>
        <v>080069586453</v>
      </c>
      <c r="F131" s="3">
        <v>45992</v>
      </c>
      <c r="G131">
        <v>202609</v>
      </c>
      <c r="H131" t="s">
        <v>75</v>
      </c>
      <c r="I131" t="s">
        <v>76</v>
      </c>
      <c r="J131" t="s">
        <v>77</v>
      </c>
      <c r="K131" t="s">
        <v>78</v>
      </c>
      <c r="L131" t="s">
        <v>366</v>
      </c>
      <c r="M131" t="s">
        <v>367</v>
      </c>
      <c r="N131" t="s">
        <v>521</v>
      </c>
      <c r="O131" t="s">
        <v>89</v>
      </c>
      <c r="P131" t="str">
        <f>"4170071327                    "</f>
        <v xml:space="preserve">4170071327                    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43.09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1</v>
      </c>
      <c r="BI131">
        <v>2</v>
      </c>
      <c r="BJ131">
        <v>1.1000000000000001</v>
      </c>
      <c r="BK131">
        <v>2</v>
      </c>
      <c r="BL131">
        <v>141.02000000000001</v>
      </c>
      <c r="BM131">
        <v>21.15</v>
      </c>
      <c r="BN131">
        <v>162.16999999999999</v>
      </c>
      <c r="BO131">
        <v>162.16999999999999</v>
      </c>
      <c r="BQ131" t="s">
        <v>522</v>
      </c>
      <c r="BR131" t="s">
        <v>82</v>
      </c>
      <c r="BS131" s="3">
        <v>45993</v>
      </c>
      <c r="BT131" s="4">
        <v>0.4375</v>
      </c>
      <c r="BU131" t="s">
        <v>523</v>
      </c>
      <c r="BV131" t="s">
        <v>84</v>
      </c>
      <c r="BY131">
        <v>5510</v>
      </c>
      <c r="CA131">
        <v>8510125994083</v>
      </c>
      <c r="CC131" t="s">
        <v>367</v>
      </c>
      <c r="CD131">
        <v>1900</v>
      </c>
      <c r="CE131" t="s">
        <v>86</v>
      </c>
      <c r="CF131" s="3">
        <v>45993</v>
      </c>
      <c r="CI131">
        <v>1</v>
      </c>
      <c r="CJ131">
        <v>1</v>
      </c>
      <c r="CK131">
        <v>23</v>
      </c>
      <c r="CL131" t="s">
        <v>87</v>
      </c>
    </row>
    <row r="132" spans="1:90" x14ac:dyDescent="0.3">
      <c r="A132" t="s">
        <v>72</v>
      </c>
      <c r="B132" t="s">
        <v>73</v>
      </c>
      <c r="C132" t="s">
        <v>74</v>
      </c>
      <c r="E132" t="str">
        <f>"080069587575"</f>
        <v>080069587575</v>
      </c>
      <c r="F132" s="3">
        <v>45992</v>
      </c>
      <c r="G132">
        <v>202609</v>
      </c>
      <c r="H132" t="s">
        <v>75</v>
      </c>
      <c r="I132" t="s">
        <v>76</v>
      </c>
      <c r="J132" t="s">
        <v>77</v>
      </c>
      <c r="K132" t="s">
        <v>78</v>
      </c>
      <c r="L132" t="s">
        <v>302</v>
      </c>
      <c r="M132" t="s">
        <v>303</v>
      </c>
      <c r="N132" t="s">
        <v>425</v>
      </c>
      <c r="O132" t="s">
        <v>80</v>
      </c>
      <c r="P132" t="str">
        <f>"4170071348                    "</f>
        <v xml:space="preserve">4170071348                    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89.22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2</v>
      </c>
      <c r="BI132">
        <v>38</v>
      </c>
      <c r="BJ132">
        <v>40.299999999999997</v>
      </c>
      <c r="BK132">
        <v>41</v>
      </c>
      <c r="BL132">
        <v>298.10000000000002</v>
      </c>
      <c r="BM132">
        <v>44.72</v>
      </c>
      <c r="BN132">
        <v>342.82</v>
      </c>
      <c r="BO132">
        <v>342.82</v>
      </c>
      <c r="BQ132" t="s">
        <v>426</v>
      </c>
      <c r="BR132" t="s">
        <v>82</v>
      </c>
      <c r="BS132" s="3">
        <v>45993</v>
      </c>
      <c r="BT132" s="4">
        <v>0.6791666666666667</v>
      </c>
      <c r="BU132" t="s">
        <v>524</v>
      </c>
      <c r="BV132" t="s">
        <v>84</v>
      </c>
      <c r="BY132">
        <v>100800</v>
      </c>
      <c r="CA132">
        <v>9803125957082</v>
      </c>
      <c r="CC132" t="s">
        <v>303</v>
      </c>
      <c r="CD132" s="5" t="s">
        <v>350</v>
      </c>
      <c r="CE132" t="s">
        <v>108</v>
      </c>
      <c r="CF132" s="3">
        <v>45993</v>
      </c>
      <c r="CI132">
        <v>1</v>
      </c>
      <c r="CJ132">
        <v>1</v>
      </c>
      <c r="CK132">
        <v>41</v>
      </c>
      <c r="CL132" t="s">
        <v>87</v>
      </c>
    </row>
    <row r="133" spans="1:90" x14ac:dyDescent="0.3">
      <c r="A133" t="s">
        <v>72</v>
      </c>
      <c r="B133" t="s">
        <v>73</v>
      </c>
      <c r="C133" t="s">
        <v>74</v>
      </c>
      <c r="E133" t="str">
        <f>"080069587614"</f>
        <v>080069587614</v>
      </c>
      <c r="F133" s="3">
        <v>45992</v>
      </c>
      <c r="G133">
        <v>202609</v>
      </c>
      <c r="H133" t="s">
        <v>75</v>
      </c>
      <c r="I133" t="s">
        <v>76</v>
      </c>
      <c r="J133" t="s">
        <v>77</v>
      </c>
      <c r="K133" t="s">
        <v>78</v>
      </c>
      <c r="L133" t="s">
        <v>189</v>
      </c>
      <c r="M133" t="s">
        <v>190</v>
      </c>
      <c r="N133" t="s">
        <v>191</v>
      </c>
      <c r="O133" t="s">
        <v>89</v>
      </c>
      <c r="P133" t="str">
        <f>"4170071339                    "</f>
        <v xml:space="preserve">4170071339                    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38.909999999999997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1</v>
      </c>
      <c r="BI133">
        <v>3.1</v>
      </c>
      <c r="BJ133">
        <v>1.6</v>
      </c>
      <c r="BK133">
        <v>3.5</v>
      </c>
      <c r="BL133">
        <v>127.34</v>
      </c>
      <c r="BM133">
        <v>19.100000000000001</v>
      </c>
      <c r="BN133">
        <v>146.44</v>
      </c>
      <c r="BO133">
        <v>146.44</v>
      </c>
      <c r="BQ133" t="s">
        <v>192</v>
      </c>
      <c r="BR133" t="s">
        <v>82</v>
      </c>
      <c r="BS133" s="3">
        <v>45994</v>
      </c>
      <c r="BT133" s="4">
        <v>0.41805555555555557</v>
      </c>
      <c r="BU133" t="s">
        <v>464</v>
      </c>
      <c r="BV133" t="s">
        <v>87</v>
      </c>
      <c r="BY133">
        <v>8103.65</v>
      </c>
      <c r="CA133" t="s">
        <v>194</v>
      </c>
      <c r="CC133" t="s">
        <v>190</v>
      </c>
      <c r="CD133">
        <v>3201</v>
      </c>
      <c r="CE133" t="s">
        <v>86</v>
      </c>
      <c r="CF133" s="3">
        <v>45995</v>
      </c>
      <c r="CI133">
        <v>1</v>
      </c>
      <c r="CJ133">
        <v>2</v>
      </c>
      <c r="CK133">
        <v>21</v>
      </c>
      <c r="CL133" t="s">
        <v>87</v>
      </c>
    </row>
    <row r="134" spans="1:90" x14ac:dyDescent="0.3">
      <c r="A134" t="s">
        <v>72</v>
      </c>
      <c r="B134" t="s">
        <v>73</v>
      </c>
      <c r="C134" t="s">
        <v>74</v>
      </c>
      <c r="E134" t="str">
        <f>"080069587668"</f>
        <v>080069587668</v>
      </c>
      <c r="F134" s="3">
        <v>45992</v>
      </c>
      <c r="G134">
        <v>202609</v>
      </c>
      <c r="H134" t="s">
        <v>75</v>
      </c>
      <c r="I134" t="s">
        <v>76</v>
      </c>
      <c r="J134" t="s">
        <v>77</v>
      </c>
      <c r="K134" t="s">
        <v>78</v>
      </c>
      <c r="L134" t="s">
        <v>169</v>
      </c>
      <c r="M134" t="s">
        <v>170</v>
      </c>
      <c r="N134" t="s">
        <v>525</v>
      </c>
      <c r="O134" t="s">
        <v>89</v>
      </c>
      <c r="P134" t="str">
        <f>"4170071212                    "</f>
        <v xml:space="preserve">4170071212                    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62.55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1</v>
      </c>
      <c r="BI134">
        <v>3</v>
      </c>
      <c r="BJ134">
        <v>1.8</v>
      </c>
      <c r="BK134">
        <v>3</v>
      </c>
      <c r="BL134">
        <v>204.7</v>
      </c>
      <c r="BM134">
        <v>30.71</v>
      </c>
      <c r="BN134">
        <v>235.41</v>
      </c>
      <c r="BO134">
        <v>235.41</v>
      </c>
      <c r="BQ134" t="s">
        <v>526</v>
      </c>
      <c r="BR134" t="s">
        <v>82</v>
      </c>
      <c r="BS134" s="3">
        <v>45993</v>
      </c>
      <c r="BT134" s="4">
        <v>0.53402777777777777</v>
      </c>
      <c r="BU134" t="s">
        <v>527</v>
      </c>
      <c r="BV134" t="s">
        <v>84</v>
      </c>
      <c r="BY134">
        <v>8816</v>
      </c>
      <c r="BZ134" t="s">
        <v>125</v>
      </c>
      <c r="CA134">
        <v>8608105569083</v>
      </c>
      <c r="CC134" t="s">
        <v>170</v>
      </c>
      <c r="CD134">
        <v>1020</v>
      </c>
      <c r="CE134" t="s">
        <v>147</v>
      </c>
      <c r="CF134" s="3">
        <v>45993</v>
      </c>
      <c r="CI134">
        <v>1</v>
      </c>
      <c r="CJ134">
        <v>1</v>
      </c>
      <c r="CK134">
        <v>23</v>
      </c>
      <c r="CL134" t="s">
        <v>87</v>
      </c>
    </row>
    <row r="135" spans="1:90" x14ac:dyDescent="0.3">
      <c r="A135" t="s">
        <v>72</v>
      </c>
      <c r="B135" t="s">
        <v>73</v>
      </c>
      <c r="C135" t="s">
        <v>74</v>
      </c>
      <c r="E135" t="str">
        <f>"080069587705"</f>
        <v>080069587705</v>
      </c>
      <c r="F135" s="3">
        <v>45992</v>
      </c>
      <c r="G135">
        <v>202609</v>
      </c>
      <c r="H135" t="s">
        <v>75</v>
      </c>
      <c r="I135" t="s">
        <v>76</v>
      </c>
      <c r="J135" t="s">
        <v>77</v>
      </c>
      <c r="K135" t="s">
        <v>78</v>
      </c>
      <c r="L135" t="s">
        <v>265</v>
      </c>
      <c r="M135" t="s">
        <v>266</v>
      </c>
      <c r="N135" t="s">
        <v>474</v>
      </c>
      <c r="O135" t="s">
        <v>89</v>
      </c>
      <c r="P135" t="str">
        <f>"4170071337                    "</f>
        <v xml:space="preserve">4170071337                    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17.37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1</v>
      </c>
      <c r="BI135">
        <v>2</v>
      </c>
      <c r="BJ135">
        <v>1.1000000000000001</v>
      </c>
      <c r="BK135">
        <v>2</v>
      </c>
      <c r="BL135">
        <v>56.85</v>
      </c>
      <c r="BM135">
        <v>8.5299999999999994</v>
      </c>
      <c r="BN135">
        <v>65.38</v>
      </c>
      <c r="BO135">
        <v>65.38</v>
      </c>
      <c r="BQ135" t="s">
        <v>475</v>
      </c>
      <c r="BR135" t="s">
        <v>82</v>
      </c>
      <c r="BS135" s="3">
        <v>45993</v>
      </c>
      <c r="BT135" s="4">
        <v>0.35</v>
      </c>
      <c r="BU135" t="s">
        <v>476</v>
      </c>
      <c r="BV135" t="s">
        <v>84</v>
      </c>
      <c r="BY135">
        <v>5510</v>
      </c>
      <c r="CA135" t="s">
        <v>417</v>
      </c>
      <c r="CC135" t="s">
        <v>266</v>
      </c>
      <c r="CD135">
        <v>1459</v>
      </c>
      <c r="CE135" t="s">
        <v>86</v>
      </c>
      <c r="CF135" s="3">
        <v>45994</v>
      </c>
      <c r="CI135">
        <v>1</v>
      </c>
      <c r="CJ135">
        <v>1</v>
      </c>
      <c r="CK135">
        <v>22</v>
      </c>
      <c r="CL135" t="s">
        <v>87</v>
      </c>
    </row>
    <row r="136" spans="1:90" x14ac:dyDescent="0.3">
      <c r="A136" t="s">
        <v>72</v>
      </c>
      <c r="B136" t="s">
        <v>73</v>
      </c>
      <c r="C136" t="s">
        <v>74</v>
      </c>
      <c r="E136" t="str">
        <f>"080069587742"</f>
        <v>080069587742</v>
      </c>
      <c r="F136" s="3">
        <v>45992</v>
      </c>
      <c r="G136">
        <v>202609</v>
      </c>
      <c r="H136" t="s">
        <v>75</v>
      </c>
      <c r="I136" t="s">
        <v>76</v>
      </c>
      <c r="J136" t="s">
        <v>77</v>
      </c>
      <c r="K136" t="s">
        <v>78</v>
      </c>
      <c r="L136" t="s">
        <v>528</v>
      </c>
      <c r="M136" t="s">
        <v>529</v>
      </c>
      <c r="N136" t="s">
        <v>530</v>
      </c>
      <c r="O136" t="s">
        <v>89</v>
      </c>
      <c r="P136" t="str">
        <f>"4170071238                    "</f>
        <v xml:space="preserve">4170071238                    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43.09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17.41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1</v>
      </c>
      <c r="BI136">
        <v>2</v>
      </c>
      <c r="BJ136">
        <v>0.9</v>
      </c>
      <c r="BK136">
        <v>2</v>
      </c>
      <c r="BL136">
        <v>158.43</v>
      </c>
      <c r="BM136">
        <v>23.76</v>
      </c>
      <c r="BN136">
        <v>182.19</v>
      </c>
      <c r="BO136">
        <v>182.19</v>
      </c>
      <c r="BQ136" t="s">
        <v>531</v>
      </c>
      <c r="BR136" t="s">
        <v>82</v>
      </c>
      <c r="BS136" s="3">
        <v>45993</v>
      </c>
      <c r="BT136" s="4">
        <v>0.63680555555555551</v>
      </c>
      <c r="BU136" t="s">
        <v>532</v>
      </c>
      <c r="BV136" t="s">
        <v>84</v>
      </c>
      <c r="BY136">
        <v>4560</v>
      </c>
      <c r="BZ136" t="s">
        <v>30</v>
      </c>
      <c r="CA136" t="s">
        <v>533</v>
      </c>
      <c r="CC136" t="s">
        <v>529</v>
      </c>
      <c r="CD136" s="5" t="s">
        <v>534</v>
      </c>
      <c r="CE136" t="s">
        <v>86</v>
      </c>
      <c r="CF136" s="3">
        <v>45994</v>
      </c>
      <c r="CI136">
        <v>1</v>
      </c>
      <c r="CJ136">
        <v>1</v>
      </c>
      <c r="CK136">
        <v>23</v>
      </c>
      <c r="CL136" t="s">
        <v>87</v>
      </c>
    </row>
    <row r="137" spans="1:90" x14ac:dyDescent="0.3">
      <c r="A137" t="s">
        <v>72</v>
      </c>
      <c r="B137" t="s">
        <v>73</v>
      </c>
      <c r="C137" t="s">
        <v>74</v>
      </c>
      <c r="E137" t="str">
        <f>"080069588168"</f>
        <v>080069588168</v>
      </c>
      <c r="F137" s="3">
        <v>45992</v>
      </c>
      <c r="G137">
        <v>202609</v>
      </c>
      <c r="H137" t="s">
        <v>75</v>
      </c>
      <c r="I137" t="s">
        <v>76</v>
      </c>
      <c r="J137" t="s">
        <v>77</v>
      </c>
      <c r="K137" t="s">
        <v>78</v>
      </c>
      <c r="L137" t="s">
        <v>535</v>
      </c>
      <c r="M137" t="s">
        <v>535</v>
      </c>
      <c r="N137" t="s">
        <v>536</v>
      </c>
      <c r="O137" t="s">
        <v>89</v>
      </c>
      <c r="P137" t="str">
        <f>"4170071345                    "</f>
        <v xml:space="preserve">4170071345                    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257.11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1</v>
      </c>
      <c r="BI137">
        <v>13</v>
      </c>
      <c r="BJ137">
        <v>9.1</v>
      </c>
      <c r="BK137">
        <v>13</v>
      </c>
      <c r="BL137">
        <v>841.46</v>
      </c>
      <c r="BM137">
        <v>126.22</v>
      </c>
      <c r="BN137">
        <v>967.68</v>
      </c>
      <c r="BO137">
        <v>967.68</v>
      </c>
      <c r="BQ137" t="s">
        <v>537</v>
      </c>
      <c r="BR137" t="s">
        <v>82</v>
      </c>
      <c r="BS137" s="3">
        <v>45993</v>
      </c>
      <c r="BT137" s="4">
        <v>0.47916666666666669</v>
      </c>
      <c r="BU137" t="s">
        <v>538</v>
      </c>
      <c r="BV137" t="s">
        <v>84</v>
      </c>
      <c r="BY137">
        <v>45375</v>
      </c>
      <c r="CA137" t="s">
        <v>539</v>
      </c>
      <c r="CC137" t="s">
        <v>535</v>
      </c>
      <c r="CD137">
        <v>7646</v>
      </c>
      <c r="CE137" t="s">
        <v>108</v>
      </c>
      <c r="CF137" s="3">
        <v>45994</v>
      </c>
      <c r="CI137">
        <v>1</v>
      </c>
      <c r="CJ137">
        <v>1</v>
      </c>
      <c r="CK137">
        <v>23</v>
      </c>
      <c r="CL137" t="s">
        <v>87</v>
      </c>
    </row>
    <row r="138" spans="1:90" x14ac:dyDescent="0.3">
      <c r="A138" t="s">
        <v>72</v>
      </c>
      <c r="B138" t="s">
        <v>73</v>
      </c>
      <c r="C138" t="s">
        <v>74</v>
      </c>
      <c r="E138" t="str">
        <f>"080069588781"</f>
        <v>080069588781</v>
      </c>
      <c r="F138" s="3">
        <v>45992</v>
      </c>
      <c r="G138">
        <v>202609</v>
      </c>
      <c r="H138" t="s">
        <v>75</v>
      </c>
      <c r="I138" t="s">
        <v>76</v>
      </c>
      <c r="J138" t="s">
        <v>77</v>
      </c>
      <c r="K138" t="s">
        <v>78</v>
      </c>
      <c r="L138" t="s">
        <v>458</v>
      </c>
      <c r="M138" t="s">
        <v>459</v>
      </c>
      <c r="N138" t="s">
        <v>460</v>
      </c>
      <c r="O138" t="s">
        <v>89</v>
      </c>
      <c r="P138" t="str">
        <f>"4170071349                    "</f>
        <v xml:space="preserve">4170071349                    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43.09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1</v>
      </c>
      <c r="BI138">
        <v>2</v>
      </c>
      <c r="BJ138">
        <v>1.4</v>
      </c>
      <c r="BK138">
        <v>2</v>
      </c>
      <c r="BL138">
        <v>141.02000000000001</v>
      </c>
      <c r="BM138">
        <v>21.15</v>
      </c>
      <c r="BN138">
        <v>162.16999999999999</v>
      </c>
      <c r="BO138">
        <v>162.16999999999999</v>
      </c>
      <c r="BQ138" t="s">
        <v>461</v>
      </c>
      <c r="BR138" t="s">
        <v>82</v>
      </c>
      <c r="BS138" s="3">
        <v>45993</v>
      </c>
      <c r="BT138" s="4">
        <v>0.59513888888888888</v>
      </c>
      <c r="BU138" t="s">
        <v>462</v>
      </c>
      <c r="BV138" t="s">
        <v>87</v>
      </c>
      <c r="BW138" t="s">
        <v>153</v>
      </c>
      <c r="BX138" t="s">
        <v>345</v>
      </c>
      <c r="BY138">
        <v>7000</v>
      </c>
      <c r="CA138" t="s">
        <v>463</v>
      </c>
      <c r="CC138" t="s">
        <v>459</v>
      </c>
      <c r="CD138">
        <v>7130</v>
      </c>
      <c r="CE138" t="s">
        <v>86</v>
      </c>
      <c r="CF138" s="3">
        <v>45994</v>
      </c>
      <c r="CI138">
        <v>1</v>
      </c>
      <c r="CJ138">
        <v>1</v>
      </c>
      <c r="CK138">
        <v>23</v>
      </c>
      <c r="CL138" t="s">
        <v>87</v>
      </c>
    </row>
    <row r="139" spans="1:90" x14ac:dyDescent="0.3">
      <c r="A139" t="s">
        <v>72</v>
      </c>
      <c r="B139" t="s">
        <v>73</v>
      </c>
      <c r="C139" t="s">
        <v>74</v>
      </c>
      <c r="E139" t="str">
        <f>"080069588967"</f>
        <v>080069588967</v>
      </c>
      <c r="F139" s="3">
        <v>45992</v>
      </c>
      <c r="G139">
        <v>202609</v>
      </c>
      <c r="H139" t="s">
        <v>75</v>
      </c>
      <c r="I139" t="s">
        <v>76</v>
      </c>
      <c r="J139" t="s">
        <v>77</v>
      </c>
      <c r="K139" t="s">
        <v>78</v>
      </c>
      <c r="L139" t="s">
        <v>128</v>
      </c>
      <c r="M139" t="s">
        <v>129</v>
      </c>
      <c r="N139" t="s">
        <v>383</v>
      </c>
      <c r="O139" t="s">
        <v>89</v>
      </c>
      <c r="P139" t="str">
        <f>"4170071385                    "</f>
        <v xml:space="preserve">4170071385                    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44.47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1</v>
      </c>
      <c r="BI139">
        <v>4</v>
      </c>
      <c r="BJ139">
        <v>1.8</v>
      </c>
      <c r="BK139">
        <v>4</v>
      </c>
      <c r="BL139">
        <v>145.53</v>
      </c>
      <c r="BM139">
        <v>21.83</v>
      </c>
      <c r="BN139">
        <v>167.36</v>
      </c>
      <c r="BO139">
        <v>167.36</v>
      </c>
      <c r="BQ139" t="s">
        <v>384</v>
      </c>
      <c r="BR139" t="s">
        <v>82</v>
      </c>
      <c r="BS139" s="3">
        <v>45993</v>
      </c>
      <c r="BT139" s="4">
        <v>0.61944444444444446</v>
      </c>
      <c r="BU139" t="s">
        <v>359</v>
      </c>
      <c r="BV139" t="s">
        <v>87</v>
      </c>
      <c r="BW139" t="s">
        <v>186</v>
      </c>
      <c r="BX139" t="s">
        <v>187</v>
      </c>
      <c r="BY139">
        <v>8816</v>
      </c>
      <c r="CA139" t="s">
        <v>188</v>
      </c>
      <c r="CC139" t="s">
        <v>129</v>
      </c>
      <c r="CD139">
        <v>5201</v>
      </c>
      <c r="CE139" t="s">
        <v>86</v>
      </c>
      <c r="CF139" s="3">
        <v>45994</v>
      </c>
      <c r="CI139">
        <v>1</v>
      </c>
      <c r="CJ139">
        <v>1</v>
      </c>
      <c r="CK139">
        <v>21</v>
      </c>
      <c r="CL139" t="s">
        <v>87</v>
      </c>
    </row>
    <row r="140" spans="1:90" x14ac:dyDescent="0.3">
      <c r="A140" t="s">
        <v>72</v>
      </c>
      <c r="B140" t="s">
        <v>73</v>
      </c>
      <c r="C140" t="s">
        <v>74</v>
      </c>
      <c r="E140" t="str">
        <f>"080069588968"</f>
        <v>080069588968</v>
      </c>
      <c r="F140" s="3">
        <v>45992</v>
      </c>
      <c r="G140">
        <v>202609</v>
      </c>
      <c r="H140" t="s">
        <v>75</v>
      </c>
      <c r="I140" t="s">
        <v>76</v>
      </c>
      <c r="J140" t="s">
        <v>77</v>
      </c>
      <c r="K140" t="s">
        <v>78</v>
      </c>
      <c r="L140" t="s">
        <v>94</v>
      </c>
      <c r="M140" t="s">
        <v>95</v>
      </c>
      <c r="N140" t="s">
        <v>540</v>
      </c>
      <c r="O140" t="s">
        <v>89</v>
      </c>
      <c r="P140" t="str">
        <f>"4170071358                    "</f>
        <v xml:space="preserve">4170071358                    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22.24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1</v>
      </c>
      <c r="BI140">
        <v>1</v>
      </c>
      <c r="BJ140">
        <v>0.2</v>
      </c>
      <c r="BK140">
        <v>1</v>
      </c>
      <c r="BL140">
        <v>72.78</v>
      </c>
      <c r="BM140">
        <v>10.92</v>
      </c>
      <c r="BN140">
        <v>83.7</v>
      </c>
      <c r="BO140">
        <v>83.7</v>
      </c>
      <c r="BQ140" t="s">
        <v>541</v>
      </c>
      <c r="BR140" t="s">
        <v>82</v>
      </c>
      <c r="BS140" s="3">
        <v>45993</v>
      </c>
      <c r="BT140" s="4">
        <v>0.37847222222222221</v>
      </c>
      <c r="BU140" t="s">
        <v>542</v>
      </c>
      <c r="BV140" t="s">
        <v>84</v>
      </c>
      <c r="BY140">
        <v>1200</v>
      </c>
      <c r="CA140" t="s">
        <v>99</v>
      </c>
      <c r="CC140" t="s">
        <v>95</v>
      </c>
      <c r="CD140">
        <v>3610</v>
      </c>
      <c r="CE140" t="s">
        <v>134</v>
      </c>
      <c r="CF140" s="3">
        <v>45993</v>
      </c>
      <c r="CI140">
        <v>1</v>
      </c>
      <c r="CJ140">
        <v>1</v>
      </c>
      <c r="CK140">
        <v>21</v>
      </c>
      <c r="CL140" t="s">
        <v>87</v>
      </c>
    </row>
    <row r="141" spans="1:90" x14ac:dyDescent="0.3">
      <c r="A141" t="s">
        <v>72</v>
      </c>
      <c r="B141" t="s">
        <v>73</v>
      </c>
      <c r="C141" t="s">
        <v>74</v>
      </c>
      <c r="E141" t="str">
        <f>"080069589003"</f>
        <v>080069589003</v>
      </c>
      <c r="F141" s="3">
        <v>45992</v>
      </c>
      <c r="G141">
        <v>202609</v>
      </c>
      <c r="H141" t="s">
        <v>75</v>
      </c>
      <c r="I141" t="s">
        <v>76</v>
      </c>
      <c r="J141" t="s">
        <v>77</v>
      </c>
      <c r="K141" t="s">
        <v>78</v>
      </c>
      <c r="L141" t="s">
        <v>75</v>
      </c>
      <c r="M141" t="s">
        <v>76</v>
      </c>
      <c r="N141" t="s">
        <v>543</v>
      </c>
      <c r="O141" t="s">
        <v>80</v>
      </c>
      <c r="P141" t="str">
        <f>"4170071343                    "</f>
        <v xml:space="preserve">4170071343                    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34.15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1</v>
      </c>
      <c r="BI141">
        <v>9</v>
      </c>
      <c r="BJ141">
        <v>15.4</v>
      </c>
      <c r="BK141">
        <v>16</v>
      </c>
      <c r="BL141">
        <v>117.87</v>
      </c>
      <c r="BM141">
        <v>17.68</v>
      </c>
      <c r="BN141">
        <v>135.55000000000001</v>
      </c>
      <c r="BO141">
        <v>135.55000000000001</v>
      </c>
      <c r="BQ141" t="s">
        <v>544</v>
      </c>
      <c r="BR141" t="s">
        <v>82</v>
      </c>
      <c r="BS141" s="3">
        <v>45993</v>
      </c>
      <c r="BT141" s="4">
        <v>0.47916666666666669</v>
      </c>
      <c r="BU141" t="s">
        <v>545</v>
      </c>
      <c r="BV141" t="s">
        <v>84</v>
      </c>
      <c r="BY141">
        <v>76760</v>
      </c>
      <c r="CC141" t="s">
        <v>76</v>
      </c>
      <c r="CD141">
        <v>1666</v>
      </c>
      <c r="CE141" t="s">
        <v>546</v>
      </c>
      <c r="CF141" s="3">
        <v>45994</v>
      </c>
      <c r="CI141">
        <v>1</v>
      </c>
      <c r="CJ141">
        <v>1</v>
      </c>
      <c r="CK141">
        <v>42</v>
      </c>
      <c r="CL141" t="s">
        <v>87</v>
      </c>
    </row>
    <row r="142" spans="1:90" x14ac:dyDescent="0.3">
      <c r="A142" t="s">
        <v>72</v>
      </c>
      <c r="B142" t="s">
        <v>73</v>
      </c>
      <c r="C142" t="s">
        <v>74</v>
      </c>
      <c r="E142" t="str">
        <f>"080069589131"</f>
        <v>080069589131</v>
      </c>
      <c r="F142" s="3">
        <v>45992</v>
      </c>
      <c r="G142">
        <v>202609</v>
      </c>
      <c r="H142" t="s">
        <v>75</v>
      </c>
      <c r="I142" t="s">
        <v>76</v>
      </c>
      <c r="J142" t="s">
        <v>77</v>
      </c>
      <c r="K142" t="s">
        <v>78</v>
      </c>
      <c r="L142" t="s">
        <v>302</v>
      </c>
      <c r="M142" t="s">
        <v>303</v>
      </c>
      <c r="N142" t="s">
        <v>425</v>
      </c>
      <c r="O142" t="s">
        <v>80</v>
      </c>
      <c r="P142" t="str">
        <f>"4170071356                    "</f>
        <v xml:space="preserve">4170071356                    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43.01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1</v>
      </c>
      <c r="BI142">
        <v>12</v>
      </c>
      <c r="BJ142">
        <v>9.1</v>
      </c>
      <c r="BK142">
        <v>12</v>
      </c>
      <c r="BL142">
        <v>146.85</v>
      </c>
      <c r="BM142">
        <v>22.03</v>
      </c>
      <c r="BN142">
        <v>168.88</v>
      </c>
      <c r="BO142">
        <v>168.88</v>
      </c>
      <c r="BQ142" t="s">
        <v>426</v>
      </c>
      <c r="BR142" t="s">
        <v>82</v>
      </c>
      <c r="BS142" s="3">
        <v>45993</v>
      </c>
      <c r="BT142" s="4">
        <v>0.67847222222222225</v>
      </c>
      <c r="BU142" t="s">
        <v>524</v>
      </c>
      <c r="BV142" t="s">
        <v>84</v>
      </c>
      <c r="BY142">
        <v>45375</v>
      </c>
      <c r="CA142">
        <v>9803125957082</v>
      </c>
      <c r="CC142" t="s">
        <v>303</v>
      </c>
      <c r="CD142" s="5" t="s">
        <v>350</v>
      </c>
      <c r="CE142" t="s">
        <v>108</v>
      </c>
      <c r="CF142" s="3">
        <v>45993</v>
      </c>
      <c r="CI142">
        <v>1</v>
      </c>
      <c r="CJ142">
        <v>1</v>
      </c>
      <c r="CK142">
        <v>41</v>
      </c>
      <c r="CL142" t="s">
        <v>87</v>
      </c>
    </row>
    <row r="143" spans="1:90" x14ac:dyDescent="0.3">
      <c r="A143" t="s">
        <v>72</v>
      </c>
      <c r="B143" t="s">
        <v>73</v>
      </c>
      <c r="C143" t="s">
        <v>74</v>
      </c>
      <c r="E143" t="str">
        <f>"080069589156"</f>
        <v>080069589156</v>
      </c>
      <c r="F143" s="3">
        <v>45992</v>
      </c>
      <c r="G143">
        <v>202609</v>
      </c>
      <c r="H143" t="s">
        <v>75</v>
      </c>
      <c r="I143" t="s">
        <v>76</v>
      </c>
      <c r="J143" t="s">
        <v>77</v>
      </c>
      <c r="K143" t="s">
        <v>78</v>
      </c>
      <c r="L143" t="s">
        <v>202</v>
      </c>
      <c r="M143" t="s">
        <v>203</v>
      </c>
      <c r="N143" t="s">
        <v>204</v>
      </c>
      <c r="O143" t="s">
        <v>89</v>
      </c>
      <c r="P143" t="str">
        <f>"4170071383                    "</f>
        <v xml:space="preserve">4170071383                    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43.09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1</v>
      </c>
      <c r="BI143">
        <v>1</v>
      </c>
      <c r="BJ143">
        <v>0.2</v>
      </c>
      <c r="BK143">
        <v>1</v>
      </c>
      <c r="BL143">
        <v>141.02000000000001</v>
      </c>
      <c r="BM143">
        <v>21.15</v>
      </c>
      <c r="BN143">
        <v>162.16999999999999</v>
      </c>
      <c r="BO143">
        <v>162.16999999999999</v>
      </c>
      <c r="BQ143" t="s">
        <v>205</v>
      </c>
      <c r="BR143" t="s">
        <v>82</v>
      </c>
      <c r="BS143" s="3">
        <v>45993</v>
      </c>
      <c r="BT143" s="4">
        <v>0.41666666666666669</v>
      </c>
      <c r="BU143" t="s">
        <v>547</v>
      </c>
      <c r="BV143" t="s">
        <v>84</v>
      </c>
      <c r="BY143">
        <v>1200</v>
      </c>
      <c r="CC143" t="s">
        <v>203</v>
      </c>
      <c r="CD143">
        <v>2531</v>
      </c>
      <c r="CE143" t="s">
        <v>134</v>
      </c>
      <c r="CF143" s="3">
        <v>45994</v>
      </c>
      <c r="CI143">
        <v>1</v>
      </c>
      <c r="CJ143">
        <v>1</v>
      </c>
      <c r="CK143">
        <v>23</v>
      </c>
      <c r="CL143" t="s">
        <v>87</v>
      </c>
    </row>
    <row r="144" spans="1:90" x14ac:dyDescent="0.3">
      <c r="A144" t="s">
        <v>72</v>
      </c>
      <c r="B144" t="s">
        <v>73</v>
      </c>
      <c r="C144" t="s">
        <v>74</v>
      </c>
      <c r="E144" t="str">
        <f>"080069589344"</f>
        <v>080069589344</v>
      </c>
      <c r="F144" s="3">
        <v>45992</v>
      </c>
      <c r="G144">
        <v>202609</v>
      </c>
      <c r="H144" t="s">
        <v>75</v>
      </c>
      <c r="I144" t="s">
        <v>76</v>
      </c>
      <c r="J144" t="s">
        <v>77</v>
      </c>
      <c r="K144" t="s">
        <v>78</v>
      </c>
      <c r="L144" t="s">
        <v>548</v>
      </c>
      <c r="M144" t="s">
        <v>549</v>
      </c>
      <c r="N144" t="s">
        <v>550</v>
      </c>
      <c r="O144" t="s">
        <v>89</v>
      </c>
      <c r="P144" t="str">
        <f>"4170071359                    "</f>
        <v xml:space="preserve">4170071359                    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101.46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1</v>
      </c>
      <c r="BI144">
        <v>5</v>
      </c>
      <c r="BJ144">
        <v>1.8</v>
      </c>
      <c r="BK144">
        <v>5</v>
      </c>
      <c r="BL144">
        <v>332.05</v>
      </c>
      <c r="BM144">
        <v>49.81</v>
      </c>
      <c r="BN144">
        <v>381.86</v>
      </c>
      <c r="BO144">
        <v>381.86</v>
      </c>
      <c r="BQ144" t="s">
        <v>551</v>
      </c>
      <c r="BR144" t="s">
        <v>82</v>
      </c>
      <c r="BS144" s="3">
        <v>45993</v>
      </c>
      <c r="BT144" s="4">
        <v>0.43402777777777779</v>
      </c>
      <c r="BU144" t="s">
        <v>552</v>
      </c>
      <c r="BV144" t="s">
        <v>84</v>
      </c>
      <c r="BY144">
        <v>8816</v>
      </c>
      <c r="CC144" t="s">
        <v>549</v>
      </c>
      <c r="CD144">
        <v>2302</v>
      </c>
      <c r="CE144" t="s">
        <v>86</v>
      </c>
      <c r="CF144" s="3">
        <v>45994</v>
      </c>
      <c r="CI144">
        <v>1</v>
      </c>
      <c r="CJ144">
        <v>1</v>
      </c>
      <c r="CK144">
        <v>23</v>
      </c>
      <c r="CL144" t="s">
        <v>87</v>
      </c>
    </row>
    <row r="145" spans="1:90" x14ac:dyDescent="0.3">
      <c r="A145" t="s">
        <v>72</v>
      </c>
      <c r="B145" t="s">
        <v>73</v>
      </c>
      <c r="C145" t="s">
        <v>74</v>
      </c>
      <c r="E145" t="str">
        <f>"080069589398"</f>
        <v>080069589398</v>
      </c>
      <c r="F145" s="3">
        <v>45992</v>
      </c>
      <c r="G145">
        <v>202609</v>
      </c>
      <c r="H145" t="s">
        <v>75</v>
      </c>
      <c r="I145" t="s">
        <v>76</v>
      </c>
      <c r="J145" t="s">
        <v>77</v>
      </c>
      <c r="K145" t="s">
        <v>78</v>
      </c>
      <c r="L145" t="s">
        <v>302</v>
      </c>
      <c r="M145" t="s">
        <v>303</v>
      </c>
      <c r="N145" t="s">
        <v>553</v>
      </c>
      <c r="O145" t="s">
        <v>80</v>
      </c>
      <c r="P145" t="str">
        <f>"4170071372                    "</f>
        <v xml:space="preserve">4170071372                    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43.01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1</v>
      </c>
      <c r="BI145">
        <v>4</v>
      </c>
      <c r="BJ145">
        <v>1.4</v>
      </c>
      <c r="BK145">
        <v>4</v>
      </c>
      <c r="BL145">
        <v>146.85</v>
      </c>
      <c r="BM145">
        <v>22.03</v>
      </c>
      <c r="BN145">
        <v>168.88</v>
      </c>
      <c r="BO145">
        <v>168.88</v>
      </c>
      <c r="BQ145" t="s">
        <v>554</v>
      </c>
      <c r="BR145" t="s">
        <v>82</v>
      </c>
      <c r="BS145" s="3">
        <v>45993</v>
      </c>
      <c r="BT145" s="4">
        <v>0.54305555555555551</v>
      </c>
      <c r="BU145" t="s">
        <v>555</v>
      </c>
      <c r="BV145" t="s">
        <v>84</v>
      </c>
      <c r="BY145">
        <v>7000</v>
      </c>
      <c r="CA145">
        <v>8303236124087</v>
      </c>
      <c r="CC145" t="s">
        <v>303</v>
      </c>
      <c r="CD145" s="5" t="s">
        <v>307</v>
      </c>
      <c r="CE145" t="s">
        <v>86</v>
      </c>
      <c r="CF145" s="3">
        <v>45993</v>
      </c>
      <c r="CI145">
        <v>1</v>
      </c>
      <c r="CJ145">
        <v>1</v>
      </c>
      <c r="CK145">
        <v>41</v>
      </c>
      <c r="CL145" t="s">
        <v>87</v>
      </c>
    </row>
    <row r="146" spans="1:90" x14ac:dyDescent="0.3">
      <c r="A146" t="s">
        <v>72</v>
      </c>
      <c r="B146" t="s">
        <v>73</v>
      </c>
      <c r="C146" t="s">
        <v>74</v>
      </c>
      <c r="E146" t="str">
        <f>"080069589433"</f>
        <v>080069589433</v>
      </c>
      <c r="F146" s="3">
        <v>45992</v>
      </c>
      <c r="G146">
        <v>202609</v>
      </c>
      <c r="H146" t="s">
        <v>75</v>
      </c>
      <c r="I146" t="s">
        <v>76</v>
      </c>
      <c r="J146" t="s">
        <v>77</v>
      </c>
      <c r="K146" t="s">
        <v>78</v>
      </c>
      <c r="L146" t="s">
        <v>535</v>
      </c>
      <c r="M146" t="s">
        <v>535</v>
      </c>
      <c r="N146" t="s">
        <v>556</v>
      </c>
      <c r="O146" t="s">
        <v>89</v>
      </c>
      <c r="P146" t="str">
        <f>"4170071371                    "</f>
        <v xml:space="preserve">4170071371                    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43.09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1</v>
      </c>
      <c r="BI146">
        <v>1</v>
      </c>
      <c r="BJ146">
        <v>0.2</v>
      </c>
      <c r="BK146">
        <v>1</v>
      </c>
      <c r="BL146">
        <v>141.02000000000001</v>
      </c>
      <c r="BM146">
        <v>21.15</v>
      </c>
      <c r="BN146">
        <v>162.16999999999999</v>
      </c>
      <c r="BO146">
        <v>162.16999999999999</v>
      </c>
      <c r="BQ146" t="s">
        <v>557</v>
      </c>
      <c r="BR146" t="s">
        <v>82</v>
      </c>
      <c r="BS146" s="3">
        <v>45993</v>
      </c>
      <c r="BT146" s="4">
        <v>0.59375</v>
      </c>
      <c r="BU146" t="s">
        <v>558</v>
      </c>
      <c r="BV146" t="s">
        <v>87</v>
      </c>
      <c r="BW146" t="s">
        <v>153</v>
      </c>
      <c r="BX146" t="s">
        <v>161</v>
      </c>
      <c r="BY146">
        <v>1200</v>
      </c>
      <c r="CA146" t="s">
        <v>539</v>
      </c>
      <c r="CC146" t="s">
        <v>535</v>
      </c>
      <c r="CD146">
        <v>7646</v>
      </c>
      <c r="CE146" t="s">
        <v>134</v>
      </c>
      <c r="CF146" s="3">
        <v>45994</v>
      </c>
      <c r="CI146">
        <v>1</v>
      </c>
      <c r="CJ146">
        <v>1</v>
      </c>
      <c r="CK146">
        <v>23</v>
      </c>
      <c r="CL146" t="s">
        <v>87</v>
      </c>
    </row>
    <row r="147" spans="1:90" x14ac:dyDescent="0.3">
      <c r="A147" t="s">
        <v>72</v>
      </c>
      <c r="B147" t="s">
        <v>73</v>
      </c>
      <c r="C147" t="s">
        <v>74</v>
      </c>
      <c r="E147" t="str">
        <f>"080069589490"</f>
        <v>080069589490</v>
      </c>
      <c r="F147" s="3">
        <v>45992</v>
      </c>
      <c r="G147">
        <v>202609</v>
      </c>
      <c r="H147" t="s">
        <v>75</v>
      </c>
      <c r="I147" t="s">
        <v>76</v>
      </c>
      <c r="J147" t="s">
        <v>77</v>
      </c>
      <c r="K147" t="s">
        <v>78</v>
      </c>
      <c r="L147" t="s">
        <v>202</v>
      </c>
      <c r="M147" t="s">
        <v>203</v>
      </c>
      <c r="N147" t="s">
        <v>204</v>
      </c>
      <c r="O147" t="s">
        <v>89</v>
      </c>
      <c r="P147" t="str">
        <f>"4170071357                    "</f>
        <v xml:space="preserve">4170071357                    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43.09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1</v>
      </c>
      <c r="BI147">
        <v>1</v>
      </c>
      <c r="BJ147">
        <v>0.2</v>
      </c>
      <c r="BK147">
        <v>1</v>
      </c>
      <c r="BL147">
        <v>141.02000000000001</v>
      </c>
      <c r="BM147">
        <v>21.15</v>
      </c>
      <c r="BN147">
        <v>162.16999999999999</v>
      </c>
      <c r="BO147">
        <v>162.16999999999999</v>
      </c>
      <c r="BQ147" t="s">
        <v>205</v>
      </c>
      <c r="BR147" t="s">
        <v>82</v>
      </c>
      <c r="BS147" s="3">
        <v>45993</v>
      </c>
      <c r="BT147" s="4">
        <v>0.54166666666666663</v>
      </c>
      <c r="BU147" t="s">
        <v>547</v>
      </c>
      <c r="BV147" t="s">
        <v>84</v>
      </c>
      <c r="BY147">
        <v>1200</v>
      </c>
      <c r="CC147" t="s">
        <v>203</v>
      </c>
      <c r="CD147">
        <v>2531</v>
      </c>
      <c r="CE147" t="s">
        <v>134</v>
      </c>
      <c r="CF147" s="3">
        <v>45994</v>
      </c>
      <c r="CI147">
        <v>1</v>
      </c>
      <c r="CJ147">
        <v>1</v>
      </c>
      <c r="CK147">
        <v>23</v>
      </c>
      <c r="CL147" t="s">
        <v>87</v>
      </c>
    </row>
    <row r="148" spans="1:90" x14ac:dyDescent="0.3">
      <c r="A148" t="s">
        <v>72</v>
      </c>
      <c r="B148" t="s">
        <v>73</v>
      </c>
      <c r="C148" t="s">
        <v>74</v>
      </c>
      <c r="E148" t="str">
        <f>"080069589685"</f>
        <v>080069589685</v>
      </c>
      <c r="F148" s="3">
        <v>45992</v>
      </c>
      <c r="G148">
        <v>202609</v>
      </c>
      <c r="H148" t="s">
        <v>75</v>
      </c>
      <c r="I148" t="s">
        <v>76</v>
      </c>
      <c r="J148" t="s">
        <v>77</v>
      </c>
      <c r="K148" t="s">
        <v>78</v>
      </c>
      <c r="L148" t="s">
        <v>156</v>
      </c>
      <c r="M148" t="s">
        <v>157</v>
      </c>
      <c r="N148" t="s">
        <v>559</v>
      </c>
      <c r="O148" t="s">
        <v>89</v>
      </c>
      <c r="P148" t="str">
        <f>"4170071313                    "</f>
        <v xml:space="preserve">4170071313                    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22.24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1</v>
      </c>
      <c r="BI148">
        <v>1</v>
      </c>
      <c r="BJ148">
        <v>0.2</v>
      </c>
      <c r="BK148">
        <v>1</v>
      </c>
      <c r="BL148">
        <v>72.78</v>
      </c>
      <c r="BM148">
        <v>10.92</v>
      </c>
      <c r="BN148">
        <v>83.7</v>
      </c>
      <c r="BO148">
        <v>83.7</v>
      </c>
      <c r="BQ148" t="s">
        <v>560</v>
      </c>
      <c r="BR148" t="s">
        <v>82</v>
      </c>
      <c r="BS148" s="3">
        <v>45993</v>
      </c>
      <c r="BT148" s="4">
        <v>0.44861111111111113</v>
      </c>
      <c r="BU148" t="s">
        <v>561</v>
      </c>
      <c r="BV148" t="s">
        <v>87</v>
      </c>
      <c r="BY148">
        <v>1200</v>
      </c>
      <c r="CA148" t="s">
        <v>473</v>
      </c>
      <c r="CC148" t="s">
        <v>157</v>
      </c>
      <c r="CD148">
        <v>7460</v>
      </c>
      <c r="CE148" t="s">
        <v>134</v>
      </c>
      <c r="CF148" s="3">
        <v>45994</v>
      </c>
      <c r="CI148">
        <v>1</v>
      </c>
      <c r="CJ148">
        <v>1</v>
      </c>
      <c r="CK148">
        <v>21</v>
      </c>
      <c r="CL148" t="s">
        <v>87</v>
      </c>
    </row>
    <row r="149" spans="1:90" x14ac:dyDescent="0.3">
      <c r="A149" t="s">
        <v>72</v>
      </c>
      <c r="B149" t="s">
        <v>73</v>
      </c>
      <c r="C149" t="s">
        <v>74</v>
      </c>
      <c r="E149" t="str">
        <f>"080069590038"</f>
        <v>080069590038</v>
      </c>
      <c r="F149" s="3">
        <v>45992</v>
      </c>
      <c r="G149">
        <v>202609</v>
      </c>
      <c r="H149" t="s">
        <v>75</v>
      </c>
      <c r="I149" t="s">
        <v>76</v>
      </c>
      <c r="J149" t="s">
        <v>77</v>
      </c>
      <c r="K149" t="s">
        <v>78</v>
      </c>
      <c r="L149" t="s">
        <v>562</v>
      </c>
      <c r="M149" t="s">
        <v>563</v>
      </c>
      <c r="N149" t="s">
        <v>564</v>
      </c>
      <c r="O149" t="s">
        <v>80</v>
      </c>
      <c r="P149" t="str">
        <f>"1828090436                    "</f>
        <v xml:space="preserve">1828090436                    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790.73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3</v>
      </c>
      <c r="BI149">
        <v>584</v>
      </c>
      <c r="BJ149">
        <v>614</v>
      </c>
      <c r="BK149">
        <v>614</v>
      </c>
      <c r="BL149">
        <v>2593.9499999999998</v>
      </c>
      <c r="BM149">
        <v>389.09</v>
      </c>
      <c r="BN149">
        <v>2983.04</v>
      </c>
      <c r="BO149">
        <v>2983.04</v>
      </c>
      <c r="BQ149" t="s">
        <v>565</v>
      </c>
      <c r="BR149" t="s">
        <v>82</v>
      </c>
      <c r="BS149" s="3">
        <v>45993</v>
      </c>
      <c r="BT149" s="4">
        <v>0.56597222222222221</v>
      </c>
      <c r="BU149" t="s">
        <v>566</v>
      </c>
      <c r="BV149" t="s">
        <v>84</v>
      </c>
      <c r="BY149">
        <v>3069918</v>
      </c>
      <c r="CC149" t="s">
        <v>563</v>
      </c>
      <c r="CD149">
        <v>1779</v>
      </c>
      <c r="CE149" t="s">
        <v>567</v>
      </c>
      <c r="CF149" s="3">
        <v>45994</v>
      </c>
      <c r="CI149">
        <v>1</v>
      </c>
      <c r="CJ149">
        <v>1</v>
      </c>
      <c r="CK149">
        <v>44</v>
      </c>
      <c r="CL149" t="s">
        <v>87</v>
      </c>
    </row>
    <row r="150" spans="1:90" x14ac:dyDescent="0.3">
      <c r="A150" t="s">
        <v>72</v>
      </c>
      <c r="B150" t="s">
        <v>73</v>
      </c>
      <c r="C150" t="s">
        <v>74</v>
      </c>
      <c r="E150" t="str">
        <f>"080069590745"</f>
        <v>080069590745</v>
      </c>
      <c r="F150" s="3">
        <v>45992</v>
      </c>
      <c r="G150">
        <v>202609</v>
      </c>
      <c r="H150" t="s">
        <v>75</v>
      </c>
      <c r="I150" t="s">
        <v>76</v>
      </c>
      <c r="J150" t="s">
        <v>77</v>
      </c>
      <c r="K150" t="s">
        <v>78</v>
      </c>
      <c r="L150" t="s">
        <v>272</v>
      </c>
      <c r="M150" t="s">
        <v>273</v>
      </c>
      <c r="N150" t="s">
        <v>274</v>
      </c>
      <c r="O150" t="s">
        <v>80</v>
      </c>
      <c r="P150" t="str">
        <f>"4170071361                    "</f>
        <v xml:space="preserve">4170071361                    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82.11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2</v>
      </c>
      <c r="BI150">
        <v>28</v>
      </c>
      <c r="BJ150">
        <v>36.299999999999997</v>
      </c>
      <c r="BK150">
        <v>37</v>
      </c>
      <c r="BL150">
        <v>274.83</v>
      </c>
      <c r="BM150">
        <v>41.22</v>
      </c>
      <c r="BN150">
        <v>316.05</v>
      </c>
      <c r="BO150">
        <v>316.05</v>
      </c>
      <c r="BQ150" t="s">
        <v>275</v>
      </c>
      <c r="BR150" t="s">
        <v>82</v>
      </c>
      <c r="BS150" s="3">
        <v>45994</v>
      </c>
      <c r="BT150" s="4">
        <v>0.4826388888888889</v>
      </c>
      <c r="BU150" t="s">
        <v>276</v>
      </c>
      <c r="BV150" t="s">
        <v>84</v>
      </c>
      <c r="BY150">
        <v>181380</v>
      </c>
      <c r="CA150" t="s">
        <v>277</v>
      </c>
      <c r="CC150" t="s">
        <v>273</v>
      </c>
      <c r="CD150">
        <v>6220</v>
      </c>
      <c r="CE150" t="s">
        <v>86</v>
      </c>
      <c r="CF150" s="3">
        <v>45994</v>
      </c>
      <c r="CI150">
        <v>3</v>
      </c>
      <c r="CJ150">
        <v>2</v>
      </c>
      <c r="CK150">
        <v>41</v>
      </c>
      <c r="CL150" t="s">
        <v>87</v>
      </c>
    </row>
    <row r="151" spans="1:90" x14ac:dyDescent="0.3">
      <c r="A151" t="s">
        <v>72</v>
      </c>
      <c r="B151" t="s">
        <v>73</v>
      </c>
      <c r="C151" t="s">
        <v>74</v>
      </c>
      <c r="E151" t="str">
        <f>"080069590881"</f>
        <v>080069590881</v>
      </c>
      <c r="F151" s="3">
        <v>45992</v>
      </c>
      <c r="G151">
        <v>202609</v>
      </c>
      <c r="H151" t="s">
        <v>75</v>
      </c>
      <c r="I151" t="s">
        <v>76</v>
      </c>
      <c r="J151" t="s">
        <v>77</v>
      </c>
      <c r="K151" t="s">
        <v>78</v>
      </c>
      <c r="L151" t="s">
        <v>141</v>
      </c>
      <c r="M151" t="s">
        <v>142</v>
      </c>
      <c r="N151" t="s">
        <v>568</v>
      </c>
      <c r="O151" t="s">
        <v>89</v>
      </c>
      <c r="P151" t="str">
        <f>"4170071370                    "</f>
        <v xml:space="preserve">4170071370                    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44.47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1</v>
      </c>
      <c r="BI151">
        <v>2</v>
      </c>
      <c r="BJ151">
        <v>3.7</v>
      </c>
      <c r="BK151">
        <v>4</v>
      </c>
      <c r="BL151">
        <v>145.53</v>
      </c>
      <c r="BM151">
        <v>21.83</v>
      </c>
      <c r="BN151">
        <v>167.36</v>
      </c>
      <c r="BO151">
        <v>167.36</v>
      </c>
      <c r="BQ151" t="s">
        <v>569</v>
      </c>
      <c r="BR151" t="s">
        <v>82</v>
      </c>
      <c r="BS151" s="3">
        <v>45993</v>
      </c>
      <c r="BT151" s="4">
        <v>0.44236111111111109</v>
      </c>
      <c r="BU151" t="s">
        <v>570</v>
      </c>
      <c r="BV151" t="s">
        <v>87</v>
      </c>
      <c r="BY151">
        <v>18304</v>
      </c>
      <c r="BZ151" t="s">
        <v>125</v>
      </c>
      <c r="CA151" t="s">
        <v>571</v>
      </c>
      <c r="CC151" t="s">
        <v>142</v>
      </c>
      <c r="CD151">
        <v>6056</v>
      </c>
      <c r="CE151" t="s">
        <v>147</v>
      </c>
      <c r="CF151" s="3">
        <v>45993</v>
      </c>
      <c r="CI151">
        <v>1</v>
      </c>
      <c r="CJ151">
        <v>1</v>
      </c>
      <c r="CK151">
        <v>21</v>
      </c>
      <c r="CL151" t="s">
        <v>87</v>
      </c>
    </row>
    <row r="152" spans="1:90" x14ac:dyDescent="0.3">
      <c r="A152" t="s">
        <v>72</v>
      </c>
      <c r="B152" t="s">
        <v>73</v>
      </c>
      <c r="C152" t="s">
        <v>74</v>
      </c>
      <c r="E152" t="str">
        <f>"080069590893"</f>
        <v>080069590893</v>
      </c>
      <c r="F152" s="3">
        <v>45992</v>
      </c>
      <c r="G152">
        <v>202609</v>
      </c>
      <c r="H152" t="s">
        <v>75</v>
      </c>
      <c r="I152" t="s">
        <v>76</v>
      </c>
      <c r="J152" t="s">
        <v>77</v>
      </c>
      <c r="K152" t="s">
        <v>78</v>
      </c>
      <c r="L152" t="s">
        <v>141</v>
      </c>
      <c r="M152" t="s">
        <v>142</v>
      </c>
      <c r="N152" t="s">
        <v>312</v>
      </c>
      <c r="O152" t="s">
        <v>89</v>
      </c>
      <c r="P152" t="str">
        <f>"4170071363                    "</f>
        <v xml:space="preserve">4170071363                    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22.24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1</v>
      </c>
      <c r="BI152">
        <v>1</v>
      </c>
      <c r="BJ152">
        <v>0.2</v>
      </c>
      <c r="BK152">
        <v>1</v>
      </c>
      <c r="BL152">
        <v>72.78</v>
      </c>
      <c r="BM152">
        <v>10.92</v>
      </c>
      <c r="BN152">
        <v>83.7</v>
      </c>
      <c r="BO152">
        <v>83.7</v>
      </c>
      <c r="BQ152" t="s">
        <v>313</v>
      </c>
      <c r="BR152" t="s">
        <v>82</v>
      </c>
      <c r="BS152" s="3">
        <v>45993</v>
      </c>
      <c r="BT152" s="4">
        <v>0.40138888888888891</v>
      </c>
      <c r="BU152" t="s">
        <v>314</v>
      </c>
      <c r="BV152" t="s">
        <v>84</v>
      </c>
      <c r="BY152">
        <v>1200</v>
      </c>
      <c r="BZ152" t="s">
        <v>125</v>
      </c>
      <c r="CA152" t="s">
        <v>315</v>
      </c>
      <c r="CC152" t="s">
        <v>142</v>
      </c>
      <c r="CD152">
        <v>6001</v>
      </c>
      <c r="CE152" t="s">
        <v>127</v>
      </c>
      <c r="CF152" s="3">
        <v>45993</v>
      </c>
      <c r="CI152">
        <v>1</v>
      </c>
      <c r="CJ152">
        <v>1</v>
      </c>
      <c r="CK152">
        <v>21</v>
      </c>
      <c r="CL152" t="s">
        <v>87</v>
      </c>
    </row>
    <row r="153" spans="1:90" x14ac:dyDescent="0.3">
      <c r="A153" t="s">
        <v>72</v>
      </c>
      <c r="B153" t="s">
        <v>73</v>
      </c>
      <c r="C153" t="s">
        <v>74</v>
      </c>
      <c r="E153" t="str">
        <f>"080069590924"</f>
        <v>080069590924</v>
      </c>
      <c r="F153" s="3">
        <v>45992</v>
      </c>
      <c r="G153">
        <v>202609</v>
      </c>
      <c r="H153" t="s">
        <v>75</v>
      </c>
      <c r="I153" t="s">
        <v>76</v>
      </c>
      <c r="J153" t="s">
        <v>77</v>
      </c>
      <c r="K153" t="s">
        <v>78</v>
      </c>
      <c r="L153" t="s">
        <v>548</v>
      </c>
      <c r="M153" t="s">
        <v>549</v>
      </c>
      <c r="N153" t="s">
        <v>572</v>
      </c>
      <c r="O153" t="s">
        <v>89</v>
      </c>
      <c r="P153" t="str">
        <f>"4170071395                    "</f>
        <v xml:space="preserve">4170071395                    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43.09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1</v>
      </c>
      <c r="BI153">
        <v>1</v>
      </c>
      <c r="BJ153">
        <v>0.2</v>
      </c>
      <c r="BK153">
        <v>1</v>
      </c>
      <c r="BL153">
        <v>141.02000000000001</v>
      </c>
      <c r="BM153">
        <v>21.15</v>
      </c>
      <c r="BN153">
        <v>162.16999999999999</v>
      </c>
      <c r="BO153">
        <v>162.16999999999999</v>
      </c>
      <c r="BQ153" t="s">
        <v>573</v>
      </c>
      <c r="BR153" t="s">
        <v>82</v>
      </c>
      <c r="BS153" s="3">
        <v>45993</v>
      </c>
      <c r="BT153" s="4">
        <v>0.43402777777777779</v>
      </c>
      <c r="BU153" t="s">
        <v>574</v>
      </c>
      <c r="BV153" t="s">
        <v>84</v>
      </c>
      <c r="BY153">
        <v>1200</v>
      </c>
      <c r="CC153" t="s">
        <v>549</v>
      </c>
      <c r="CD153">
        <v>2302</v>
      </c>
      <c r="CE153" t="s">
        <v>134</v>
      </c>
      <c r="CF153" s="3">
        <v>45994</v>
      </c>
      <c r="CI153">
        <v>1</v>
      </c>
      <c r="CJ153">
        <v>1</v>
      </c>
      <c r="CK153">
        <v>23</v>
      </c>
      <c r="CL153" t="s">
        <v>87</v>
      </c>
    </row>
    <row r="154" spans="1:90" x14ac:dyDescent="0.3">
      <c r="A154" t="s">
        <v>72</v>
      </c>
      <c r="B154" t="s">
        <v>73</v>
      </c>
      <c r="C154" t="s">
        <v>74</v>
      </c>
      <c r="E154" t="str">
        <f>"080069590935"</f>
        <v>080069590935</v>
      </c>
      <c r="F154" s="3">
        <v>45992</v>
      </c>
      <c r="G154">
        <v>202609</v>
      </c>
      <c r="H154" t="s">
        <v>75</v>
      </c>
      <c r="I154" t="s">
        <v>76</v>
      </c>
      <c r="J154" t="s">
        <v>77</v>
      </c>
      <c r="K154" t="s">
        <v>78</v>
      </c>
      <c r="L154" t="s">
        <v>575</v>
      </c>
      <c r="M154" t="s">
        <v>576</v>
      </c>
      <c r="N154" t="s">
        <v>577</v>
      </c>
      <c r="O154" t="s">
        <v>340</v>
      </c>
      <c r="P154" t="str">
        <f>"4170071364                    "</f>
        <v xml:space="preserve">4170071364                    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17.38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1</v>
      </c>
      <c r="BI154">
        <v>6</v>
      </c>
      <c r="BJ154">
        <v>6.1</v>
      </c>
      <c r="BK154">
        <v>7</v>
      </c>
      <c r="BL154">
        <v>56.87</v>
      </c>
      <c r="BM154">
        <v>8.5299999999999994</v>
      </c>
      <c r="BN154">
        <v>65.400000000000006</v>
      </c>
      <c r="BO154">
        <v>65.400000000000006</v>
      </c>
      <c r="BQ154" t="s">
        <v>578</v>
      </c>
      <c r="BR154" t="s">
        <v>82</v>
      </c>
      <c r="BS154" s="3">
        <v>45993</v>
      </c>
      <c r="BT154" s="4">
        <v>0.38541666666666669</v>
      </c>
      <c r="BU154" t="s">
        <v>579</v>
      </c>
      <c r="BV154" t="s">
        <v>84</v>
      </c>
      <c r="BY154">
        <v>30537</v>
      </c>
      <c r="CA154" t="s">
        <v>580</v>
      </c>
      <c r="CC154" t="s">
        <v>576</v>
      </c>
      <c r="CD154">
        <v>1451</v>
      </c>
      <c r="CE154" t="s">
        <v>86</v>
      </c>
      <c r="CF154" s="3">
        <v>45994</v>
      </c>
      <c r="CI154">
        <v>1</v>
      </c>
      <c r="CJ154">
        <v>1</v>
      </c>
      <c r="CK154">
        <v>32</v>
      </c>
      <c r="CL154" t="s">
        <v>87</v>
      </c>
    </row>
    <row r="155" spans="1:90" x14ac:dyDescent="0.3">
      <c r="A155" t="s">
        <v>72</v>
      </c>
      <c r="B155" t="s">
        <v>73</v>
      </c>
      <c r="C155" t="s">
        <v>74</v>
      </c>
      <c r="E155" t="str">
        <f>"080069590966"</f>
        <v>080069590966</v>
      </c>
      <c r="F155" s="3">
        <v>45992</v>
      </c>
      <c r="G155">
        <v>202609</v>
      </c>
      <c r="H155" t="s">
        <v>75</v>
      </c>
      <c r="I155" t="s">
        <v>76</v>
      </c>
      <c r="J155" t="s">
        <v>77</v>
      </c>
      <c r="K155" t="s">
        <v>78</v>
      </c>
      <c r="L155" t="s">
        <v>389</v>
      </c>
      <c r="M155" t="s">
        <v>390</v>
      </c>
      <c r="N155" t="s">
        <v>581</v>
      </c>
      <c r="O155" t="s">
        <v>89</v>
      </c>
      <c r="P155" t="str">
        <f>"4170071378                    "</f>
        <v xml:space="preserve">4170071378                    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62.55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1</v>
      </c>
      <c r="BI155">
        <v>3</v>
      </c>
      <c r="BJ155">
        <v>1.4</v>
      </c>
      <c r="BK155">
        <v>3</v>
      </c>
      <c r="BL155">
        <v>204.7</v>
      </c>
      <c r="BM155">
        <v>30.71</v>
      </c>
      <c r="BN155">
        <v>235.41</v>
      </c>
      <c r="BO155">
        <v>235.41</v>
      </c>
      <c r="BQ155" t="s">
        <v>582</v>
      </c>
      <c r="BR155" t="s">
        <v>82</v>
      </c>
      <c r="BS155" s="3">
        <v>45993</v>
      </c>
      <c r="BT155" s="4">
        <v>0.39652777777777776</v>
      </c>
      <c r="BU155" t="s">
        <v>583</v>
      </c>
      <c r="BV155" t="s">
        <v>84</v>
      </c>
      <c r="BY155">
        <v>7200</v>
      </c>
      <c r="CA155" t="s">
        <v>394</v>
      </c>
      <c r="CC155" t="s">
        <v>390</v>
      </c>
      <c r="CD155" s="5" t="s">
        <v>395</v>
      </c>
      <c r="CE155" t="s">
        <v>93</v>
      </c>
      <c r="CF155" s="3">
        <v>45994</v>
      </c>
      <c r="CI155">
        <v>1</v>
      </c>
      <c r="CJ155">
        <v>1</v>
      </c>
      <c r="CK155">
        <v>23</v>
      </c>
      <c r="CL155" t="s">
        <v>87</v>
      </c>
    </row>
    <row r="156" spans="1:90" x14ac:dyDescent="0.3">
      <c r="A156" t="s">
        <v>72</v>
      </c>
      <c r="B156" t="s">
        <v>73</v>
      </c>
      <c r="C156" t="s">
        <v>74</v>
      </c>
      <c r="E156" t="str">
        <f>"080069590973"</f>
        <v>080069590973</v>
      </c>
      <c r="F156" s="3">
        <v>45992</v>
      </c>
      <c r="G156">
        <v>202609</v>
      </c>
      <c r="H156" t="s">
        <v>75</v>
      </c>
      <c r="I156" t="s">
        <v>76</v>
      </c>
      <c r="J156" t="s">
        <v>77</v>
      </c>
      <c r="K156" t="s">
        <v>78</v>
      </c>
      <c r="L156" t="s">
        <v>458</v>
      </c>
      <c r="M156" t="s">
        <v>459</v>
      </c>
      <c r="N156" t="s">
        <v>460</v>
      </c>
      <c r="O156" t="s">
        <v>89</v>
      </c>
      <c r="P156" t="str">
        <f>"4170071393                    "</f>
        <v xml:space="preserve">4170071393                    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82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1</v>
      </c>
      <c r="BI156">
        <v>4</v>
      </c>
      <c r="BJ156">
        <v>1.4</v>
      </c>
      <c r="BK156">
        <v>4</v>
      </c>
      <c r="BL156">
        <v>268.37</v>
      </c>
      <c r="BM156">
        <v>40.26</v>
      </c>
      <c r="BN156">
        <v>308.63</v>
      </c>
      <c r="BO156">
        <v>308.63</v>
      </c>
      <c r="BQ156" t="s">
        <v>461</v>
      </c>
      <c r="BR156" t="s">
        <v>82</v>
      </c>
      <c r="BS156" s="3">
        <v>45993</v>
      </c>
      <c r="BT156" s="4">
        <v>0.59513888888888888</v>
      </c>
      <c r="BU156" t="s">
        <v>462</v>
      </c>
      <c r="BV156" t="s">
        <v>87</v>
      </c>
      <c r="BY156">
        <v>7000</v>
      </c>
      <c r="CA156" t="s">
        <v>463</v>
      </c>
      <c r="CC156" t="s">
        <v>459</v>
      </c>
      <c r="CD156">
        <v>7130</v>
      </c>
      <c r="CE156" t="s">
        <v>86</v>
      </c>
      <c r="CF156" s="3">
        <v>45994</v>
      </c>
      <c r="CI156">
        <v>1</v>
      </c>
      <c r="CJ156">
        <v>1</v>
      </c>
      <c r="CK156">
        <v>23</v>
      </c>
      <c r="CL156" t="s">
        <v>87</v>
      </c>
    </row>
    <row r="157" spans="1:90" x14ac:dyDescent="0.3">
      <c r="A157" t="s">
        <v>72</v>
      </c>
      <c r="B157" t="s">
        <v>73</v>
      </c>
      <c r="C157" t="s">
        <v>74</v>
      </c>
      <c r="E157" t="str">
        <f>"080069591022"</f>
        <v>080069591022</v>
      </c>
      <c r="F157" s="3">
        <v>45992</v>
      </c>
      <c r="G157">
        <v>202609</v>
      </c>
      <c r="H157" t="s">
        <v>75</v>
      </c>
      <c r="I157" t="s">
        <v>76</v>
      </c>
      <c r="J157" t="s">
        <v>77</v>
      </c>
      <c r="K157" t="s">
        <v>78</v>
      </c>
      <c r="L157" t="s">
        <v>128</v>
      </c>
      <c r="M157" t="s">
        <v>129</v>
      </c>
      <c r="N157" t="s">
        <v>584</v>
      </c>
      <c r="O157" t="s">
        <v>89</v>
      </c>
      <c r="P157" t="str">
        <f>"4170071360                    "</f>
        <v xml:space="preserve">4170071360                    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22.24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1</v>
      </c>
      <c r="BI157">
        <v>1</v>
      </c>
      <c r="BJ157">
        <v>2</v>
      </c>
      <c r="BK157">
        <v>2</v>
      </c>
      <c r="BL157">
        <v>72.78</v>
      </c>
      <c r="BM157">
        <v>10.92</v>
      </c>
      <c r="BN157">
        <v>83.7</v>
      </c>
      <c r="BO157">
        <v>83.7</v>
      </c>
      <c r="BQ157" t="s">
        <v>585</v>
      </c>
      <c r="BR157" t="s">
        <v>82</v>
      </c>
      <c r="BS157" s="3">
        <v>45994</v>
      </c>
      <c r="BT157" s="4">
        <v>0.68611111111111112</v>
      </c>
      <c r="BU157" t="s">
        <v>586</v>
      </c>
      <c r="BV157" t="s">
        <v>84</v>
      </c>
      <c r="BY157">
        <v>10108</v>
      </c>
      <c r="CA157" t="s">
        <v>133</v>
      </c>
      <c r="CC157" t="s">
        <v>129</v>
      </c>
      <c r="CD157">
        <v>5201</v>
      </c>
      <c r="CE157" t="s">
        <v>86</v>
      </c>
      <c r="CF157" s="3">
        <v>45995</v>
      </c>
      <c r="CI157">
        <v>5</v>
      </c>
      <c r="CJ157">
        <v>2</v>
      </c>
      <c r="CK157">
        <v>21</v>
      </c>
      <c r="CL157" t="s">
        <v>87</v>
      </c>
    </row>
    <row r="158" spans="1:90" x14ac:dyDescent="0.3">
      <c r="A158" t="s">
        <v>72</v>
      </c>
      <c r="B158" t="s">
        <v>73</v>
      </c>
      <c r="C158" t="s">
        <v>74</v>
      </c>
      <c r="E158" t="str">
        <f>"080069591074"</f>
        <v>080069591074</v>
      </c>
      <c r="F158" s="3">
        <v>45992</v>
      </c>
      <c r="G158">
        <v>202609</v>
      </c>
      <c r="H158" t="s">
        <v>75</v>
      </c>
      <c r="I158" t="s">
        <v>76</v>
      </c>
      <c r="J158" t="s">
        <v>77</v>
      </c>
      <c r="K158" t="s">
        <v>78</v>
      </c>
      <c r="L158" t="s">
        <v>141</v>
      </c>
      <c r="M158" t="s">
        <v>142</v>
      </c>
      <c r="N158" t="s">
        <v>587</v>
      </c>
      <c r="O158" t="s">
        <v>89</v>
      </c>
      <c r="P158" t="str">
        <f>"4170071355                    "</f>
        <v xml:space="preserve">4170071355                    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44.47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2</v>
      </c>
      <c r="BI158">
        <v>4</v>
      </c>
      <c r="BJ158">
        <v>1.2</v>
      </c>
      <c r="BK158">
        <v>4</v>
      </c>
      <c r="BL158">
        <v>145.53</v>
      </c>
      <c r="BM158">
        <v>21.83</v>
      </c>
      <c r="BN158">
        <v>167.36</v>
      </c>
      <c r="BO158">
        <v>167.36</v>
      </c>
      <c r="BQ158" t="s">
        <v>588</v>
      </c>
      <c r="BR158" t="s">
        <v>82</v>
      </c>
      <c r="BS158" s="3">
        <v>45993</v>
      </c>
      <c r="BT158" s="4">
        <v>0.43263888888888891</v>
      </c>
      <c r="BU158" t="s">
        <v>589</v>
      </c>
      <c r="BV158" t="s">
        <v>84</v>
      </c>
      <c r="BY158">
        <v>5820</v>
      </c>
      <c r="BZ158" t="s">
        <v>125</v>
      </c>
      <c r="CA158" t="s">
        <v>571</v>
      </c>
      <c r="CC158" t="s">
        <v>142</v>
      </c>
      <c r="CD158">
        <v>6001</v>
      </c>
      <c r="CE158" t="s">
        <v>93</v>
      </c>
      <c r="CF158" s="3">
        <v>45993</v>
      </c>
      <c r="CI158">
        <v>1</v>
      </c>
      <c r="CJ158">
        <v>1</v>
      </c>
      <c r="CK158">
        <v>21</v>
      </c>
      <c r="CL158" t="s">
        <v>87</v>
      </c>
    </row>
    <row r="159" spans="1:90" x14ac:dyDescent="0.3">
      <c r="A159" t="s">
        <v>72</v>
      </c>
      <c r="B159" t="s">
        <v>73</v>
      </c>
      <c r="C159" t="s">
        <v>74</v>
      </c>
      <c r="E159" t="str">
        <f>"080069591126"</f>
        <v>080069591126</v>
      </c>
      <c r="F159" s="3">
        <v>45992</v>
      </c>
      <c r="G159">
        <v>202609</v>
      </c>
      <c r="H159" t="s">
        <v>75</v>
      </c>
      <c r="I159" t="s">
        <v>76</v>
      </c>
      <c r="J159" t="s">
        <v>77</v>
      </c>
      <c r="K159" t="s">
        <v>78</v>
      </c>
      <c r="L159" t="s">
        <v>302</v>
      </c>
      <c r="M159" t="s">
        <v>303</v>
      </c>
      <c r="N159" t="s">
        <v>590</v>
      </c>
      <c r="O159" t="s">
        <v>80</v>
      </c>
      <c r="P159" t="str">
        <f>"4170071368                    "</f>
        <v xml:space="preserve">4170071368                    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43.01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1</v>
      </c>
      <c r="BI159">
        <v>4</v>
      </c>
      <c r="BJ159">
        <v>3.1</v>
      </c>
      <c r="BK159">
        <v>4</v>
      </c>
      <c r="BL159">
        <v>146.85</v>
      </c>
      <c r="BM159">
        <v>22.03</v>
      </c>
      <c r="BN159">
        <v>168.88</v>
      </c>
      <c r="BO159">
        <v>168.88</v>
      </c>
      <c r="BQ159" t="s">
        <v>591</v>
      </c>
      <c r="BR159" t="s">
        <v>82</v>
      </c>
      <c r="BS159" s="3">
        <v>45999</v>
      </c>
      <c r="BT159" s="4">
        <v>0.4236111111111111</v>
      </c>
      <c r="BU159" t="s">
        <v>592</v>
      </c>
      <c r="BV159" t="s">
        <v>87</v>
      </c>
      <c r="BW159" t="s">
        <v>174</v>
      </c>
      <c r="BX159" t="s">
        <v>593</v>
      </c>
      <c r="BY159">
        <v>15360</v>
      </c>
      <c r="CA159" t="s">
        <v>432</v>
      </c>
      <c r="CC159" t="s">
        <v>303</v>
      </c>
      <c r="CD159" s="5" t="s">
        <v>433</v>
      </c>
      <c r="CE159" t="s">
        <v>86</v>
      </c>
      <c r="CF159" s="3">
        <v>45999</v>
      </c>
      <c r="CI159">
        <v>1</v>
      </c>
      <c r="CJ159">
        <v>5</v>
      </c>
      <c r="CK159">
        <v>41</v>
      </c>
      <c r="CL159" t="s">
        <v>87</v>
      </c>
    </row>
    <row r="160" spans="1:90" x14ac:dyDescent="0.3">
      <c r="A160" t="s">
        <v>72</v>
      </c>
      <c r="B160" t="s">
        <v>73</v>
      </c>
      <c r="C160" t="s">
        <v>74</v>
      </c>
      <c r="E160" t="str">
        <f>"080069591192"</f>
        <v>080069591192</v>
      </c>
      <c r="F160" s="3">
        <v>45992</v>
      </c>
      <c r="G160">
        <v>202609</v>
      </c>
      <c r="H160" t="s">
        <v>75</v>
      </c>
      <c r="I160" t="s">
        <v>76</v>
      </c>
      <c r="J160" t="s">
        <v>77</v>
      </c>
      <c r="K160" t="s">
        <v>78</v>
      </c>
      <c r="L160" t="s">
        <v>302</v>
      </c>
      <c r="M160" t="s">
        <v>303</v>
      </c>
      <c r="N160" t="s">
        <v>594</v>
      </c>
      <c r="O160" t="s">
        <v>89</v>
      </c>
      <c r="P160" t="str">
        <f>"4170071373                    "</f>
        <v xml:space="preserve">4170071373                    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22.24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1</v>
      </c>
      <c r="BI160">
        <v>1</v>
      </c>
      <c r="BJ160">
        <v>0.2</v>
      </c>
      <c r="BK160">
        <v>1</v>
      </c>
      <c r="BL160">
        <v>72.78</v>
      </c>
      <c r="BM160">
        <v>10.92</v>
      </c>
      <c r="BN160">
        <v>83.7</v>
      </c>
      <c r="BO160">
        <v>83.7</v>
      </c>
      <c r="BQ160" t="s">
        <v>595</v>
      </c>
      <c r="BR160" t="s">
        <v>82</v>
      </c>
      <c r="BS160" s="3">
        <v>45993</v>
      </c>
      <c r="BT160" s="4">
        <v>0.43333333333333335</v>
      </c>
      <c r="BU160" t="s">
        <v>596</v>
      </c>
      <c r="BV160" t="s">
        <v>84</v>
      </c>
      <c r="BY160">
        <v>1200</v>
      </c>
      <c r="BZ160" t="s">
        <v>125</v>
      </c>
      <c r="CA160">
        <v>8110305701087</v>
      </c>
      <c r="CC160" t="s">
        <v>303</v>
      </c>
      <c r="CD160" s="5" t="s">
        <v>597</v>
      </c>
      <c r="CE160" t="s">
        <v>127</v>
      </c>
      <c r="CF160" s="3">
        <v>45993</v>
      </c>
      <c r="CI160">
        <v>1</v>
      </c>
      <c r="CJ160">
        <v>1</v>
      </c>
      <c r="CK160">
        <v>21</v>
      </c>
      <c r="CL160" t="s">
        <v>87</v>
      </c>
    </row>
    <row r="161" spans="1:90" x14ac:dyDescent="0.3">
      <c r="A161" t="s">
        <v>72</v>
      </c>
      <c r="B161" t="s">
        <v>73</v>
      </c>
      <c r="C161" t="s">
        <v>74</v>
      </c>
      <c r="E161" t="str">
        <f>"080069591318"</f>
        <v>080069591318</v>
      </c>
      <c r="F161" s="3">
        <v>45992</v>
      </c>
      <c r="G161">
        <v>202609</v>
      </c>
      <c r="H161" t="s">
        <v>75</v>
      </c>
      <c r="I161" t="s">
        <v>76</v>
      </c>
      <c r="J161" t="s">
        <v>77</v>
      </c>
      <c r="K161" t="s">
        <v>78</v>
      </c>
      <c r="L161" t="s">
        <v>75</v>
      </c>
      <c r="M161" t="s">
        <v>76</v>
      </c>
      <c r="N161" t="s">
        <v>88</v>
      </c>
      <c r="O161" t="s">
        <v>89</v>
      </c>
      <c r="P161" t="str">
        <f>"4170070716                    "</f>
        <v xml:space="preserve">4170070716                    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17.37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1</v>
      </c>
      <c r="BI161">
        <v>1</v>
      </c>
      <c r="BJ161">
        <v>0.2</v>
      </c>
      <c r="BK161">
        <v>1</v>
      </c>
      <c r="BL161">
        <v>56.85</v>
      </c>
      <c r="BM161">
        <v>8.5299999999999994</v>
      </c>
      <c r="BN161">
        <v>65.38</v>
      </c>
      <c r="BO161">
        <v>65.38</v>
      </c>
      <c r="BQ161" t="s">
        <v>90</v>
      </c>
      <c r="BR161" t="s">
        <v>82</v>
      </c>
      <c r="BS161" s="3">
        <v>45993</v>
      </c>
      <c r="BT161" s="4">
        <v>0.29166666666666669</v>
      </c>
      <c r="BU161" t="s">
        <v>91</v>
      </c>
      <c r="BV161" t="s">
        <v>84</v>
      </c>
      <c r="BY161">
        <v>1200</v>
      </c>
      <c r="CA161" t="s">
        <v>92</v>
      </c>
      <c r="CC161" t="s">
        <v>76</v>
      </c>
      <c r="CD161">
        <v>1600</v>
      </c>
      <c r="CE161" t="s">
        <v>134</v>
      </c>
      <c r="CF161" s="3">
        <v>45994</v>
      </c>
      <c r="CI161">
        <v>1</v>
      </c>
      <c r="CJ161">
        <v>1</v>
      </c>
      <c r="CK161">
        <v>22</v>
      </c>
      <c r="CL161" t="s">
        <v>87</v>
      </c>
    </row>
    <row r="162" spans="1:90" x14ac:dyDescent="0.3">
      <c r="A162" t="s">
        <v>72</v>
      </c>
      <c r="B162" t="s">
        <v>73</v>
      </c>
      <c r="C162" t="s">
        <v>74</v>
      </c>
      <c r="E162" t="str">
        <f>"080069591427"</f>
        <v>080069591427</v>
      </c>
      <c r="F162" s="3">
        <v>45992</v>
      </c>
      <c r="G162">
        <v>202609</v>
      </c>
      <c r="H162" t="s">
        <v>75</v>
      </c>
      <c r="I162" t="s">
        <v>76</v>
      </c>
      <c r="J162" t="s">
        <v>77</v>
      </c>
      <c r="K162" t="s">
        <v>78</v>
      </c>
      <c r="L162" t="s">
        <v>169</v>
      </c>
      <c r="M162" t="s">
        <v>170</v>
      </c>
      <c r="N162" t="s">
        <v>598</v>
      </c>
      <c r="O162" t="s">
        <v>80</v>
      </c>
      <c r="P162" t="str">
        <f>"4170070477                    "</f>
        <v xml:space="preserve">4170070477                    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60.65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1</v>
      </c>
      <c r="BI162">
        <v>8</v>
      </c>
      <c r="BJ162">
        <v>10.5</v>
      </c>
      <c r="BK162">
        <v>11</v>
      </c>
      <c r="BL162">
        <v>204.6</v>
      </c>
      <c r="BM162">
        <v>30.69</v>
      </c>
      <c r="BN162">
        <v>235.29</v>
      </c>
      <c r="BO162">
        <v>235.29</v>
      </c>
      <c r="BQ162" t="s">
        <v>599</v>
      </c>
      <c r="BR162" t="s">
        <v>82</v>
      </c>
      <c r="BS162" s="3">
        <v>45993</v>
      </c>
      <c r="BT162" s="4">
        <v>0.53333333333333333</v>
      </c>
      <c r="BU162" t="s">
        <v>600</v>
      </c>
      <c r="BV162" t="s">
        <v>84</v>
      </c>
      <c r="BY162">
        <v>52500</v>
      </c>
      <c r="BZ162" t="s">
        <v>404</v>
      </c>
      <c r="CA162">
        <v>8410105735081</v>
      </c>
      <c r="CC162" t="s">
        <v>170</v>
      </c>
      <c r="CD162">
        <v>1020</v>
      </c>
      <c r="CE162" t="s">
        <v>93</v>
      </c>
      <c r="CF162" s="3">
        <v>45993</v>
      </c>
      <c r="CI162">
        <v>1</v>
      </c>
      <c r="CJ162">
        <v>1</v>
      </c>
      <c r="CK162">
        <v>43</v>
      </c>
      <c r="CL162" t="s">
        <v>87</v>
      </c>
    </row>
    <row r="163" spans="1:90" x14ac:dyDescent="0.3">
      <c r="A163" t="s">
        <v>72</v>
      </c>
      <c r="B163" t="s">
        <v>73</v>
      </c>
      <c r="C163" t="s">
        <v>74</v>
      </c>
      <c r="E163" t="str">
        <f>"080011695533"</f>
        <v>080011695533</v>
      </c>
      <c r="F163" s="3">
        <v>45993</v>
      </c>
      <c r="G163">
        <v>202609</v>
      </c>
      <c r="H163" t="s">
        <v>535</v>
      </c>
      <c r="I163" t="s">
        <v>535</v>
      </c>
      <c r="J163" t="s">
        <v>601</v>
      </c>
      <c r="K163" t="s">
        <v>78</v>
      </c>
      <c r="L163" t="s">
        <v>75</v>
      </c>
      <c r="M163" t="s">
        <v>76</v>
      </c>
      <c r="N163" t="s">
        <v>602</v>
      </c>
      <c r="O163" t="s">
        <v>80</v>
      </c>
      <c r="P163" t="str">
        <f>"Neville Nov 28                "</f>
        <v xml:space="preserve">Neville Nov 28                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60.65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1</v>
      </c>
      <c r="BI163">
        <v>1</v>
      </c>
      <c r="BJ163">
        <v>0.2</v>
      </c>
      <c r="BK163">
        <v>1</v>
      </c>
      <c r="BL163">
        <v>204.6</v>
      </c>
      <c r="BM163">
        <v>30.69</v>
      </c>
      <c r="BN163">
        <v>235.29</v>
      </c>
      <c r="BO163">
        <v>235.29</v>
      </c>
      <c r="BQ163" t="s">
        <v>603</v>
      </c>
      <c r="BR163" t="s">
        <v>604</v>
      </c>
      <c r="BS163" s="3">
        <v>45995</v>
      </c>
      <c r="BT163" s="4">
        <v>0.43055555555555558</v>
      </c>
      <c r="BU163" t="s">
        <v>605</v>
      </c>
      <c r="BV163" t="s">
        <v>84</v>
      </c>
      <c r="BY163">
        <v>1200</v>
      </c>
      <c r="BZ163" t="s">
        <v>404</v>
      </c>
      <c r="CA163" t="s">
        <v>606</v>
      </c>
      <c r="CC163" t="s">
        <v>76</v>
      </c>
      <c r="CD163">
        <v>1619</v>
      </c>
      <c r="CE163" t="s">
        <v>607</v>
      </c>
      <c r="CF163" s="3">
        <v>45995</v>
      </c>
      <c r="CI163">
        <v>3</v>
      </c>
      <c r="CJ163">
        <v>2</v>
      </c>
      <c r="CK163">
        <v>43</v>
      </c>
      <c r="CL163" t="s">
        <v>87</v>
      </c>
    </row>
    <row r="164" spans="1:90" x14ac:dyDescent="0.3">
      <c r="A164" t="s">
        <v>72</v>
      </c>
      <c r="B164" t="s">
        <v>73</v>
      </c>
      <c r="C164" t="s">
        <v>74</v>
      </c>
      <c r="E164" t="str">
        <f>"080069608246"</f>
        <v>080069608246</v>
      </c>
      <c r="F164" s="3">
        <v>45993</v>
      </c>
      <c r="G164">
        <v>202609</v>
      </c>
      <c r="H164" t="s">
        <v>75</v>
      </c>
      <c r="I164" t="s">
        <v>76</v>
      </c>
      <c r="J164" t="s">
        <v>77</v>
      </c>
      <c r="K164" t="s">
        <v>78</v>
      </c>
      <c r="L164" t="s">
        <v>148</v>
      </c>
      <c r="M164" t="s">
        <v>149</v>
      </c>
      <c r="N164" t="s">
        <v>150</v>
      </c>
      <c r="O164" t="s">
        <v>89</v>
      </c>
      <c r="P164" t="str">
        <f>"4170071382                    "</f>
        <v xml:space="preserve">4170071382                    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101.46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1</v>
      </c>
      <c r="BI164">
        <v>5</v>
      </c>
      <c r="BJ164">
        <v>1.4</v>
      </c>
      <c r="BK164">
        <v>5</v>
      </c>
      <c r="BL164">
        <v>332.05</v>
      </c>
      <c r="BM164">
        <v>49.81</v>
      </c>
      <c r="BN164">
        <v>381.86</v>
      </c>
      <c r="BO164">
        <v>381.86</v>
      </c>
      <c r="BQ164" t="s">
        <v>151</v>
      </c>
      <c r="BR164" t="s">
        <v>82</v>
      </c>
      <c r="BS164" s="3">
        <v>45994</v>
      </c>
      <c r="BT164" s="4">
        <v>0.49652777777777779</v>
      </c>
      <c r="BU164" t="s">
        <v>152</v>
      </c>
      <c r="BV164" t="s">
        <v>84</v>
      </c>
      <c r="BY164">
        <v>7000</v>
      </c>
      <c r="CA164" t="s">
        <v>155</v>
      </c>
      <c r="CC164" t="s">
        <v>149</v>
      </c>
      <c r="CD164">
        <v>7300</v>
      </c>
      <c r="CE164" t="s">
        <v>86</v>
      </c>
      <c r="CF164" s="3">
        <v>45995</v>
      </c>
      <c r="CI164">
        <v>1</v>
      </c>
      <c r="CJ164">
        <v>1</v>
      </c>
      <c r="CK164">
        <v>23</v>
      </c>
      <c r="CL164" t="s">
        <v>87</v>
      </c>
    </row>
    <row r="165" spans="1:90" x14ac:dyDescent="0.3">
      <c r="A165" t="s">
        <v>72</v>
      </c>
      <c r="B165" t="s">
        <v>73</v>
      </c>
      <c r="C165" t="s">
        <v>74</v>
      </c>
      <c r="E165" t="str">
        <f>"080069611353"</f>
        <v>080069611353</v>
      </c>
      <c r="F165" s="3">
        <v>45993</v>
      </c>
      <c r="G165">
        <v>202609</v>
      </c>
      <c r="H165" t="s">
        <v>75</v>
      </c>
      <c r="I165" t="s">
        <v>76</v>
      </c>
      <c r="J165" t="s">
        <v>77</v>
      </c>
      <c r="K165" t="s">
        <v>78</v>
      </c>
      <c r="L165" t="s">
        <v>176</v>
      </c>
      <c r="M165" t="s">
        <v>177</v>
      </c>
      <c r="N165" t="s">
        <v>410</v>
      </c>
      <c r="O165" t="s">
        <v>89</v>
      </c>
      <c r="P165" t="str">
        <f>"4170071391                    "</f>
        <v xml:space="preserve">4170071391                    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17.37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1</v>
      </c>
      <c r="BI165">
        <v>2</v>
      </c>
      <c r="BJ165">
        <v>1.9</v>
      </c>
      <c r="BK165">
        <v>2</v>
      </c>
      <c r="BL165">
        <v>56.85</v>
      </c>
      <c r="BM165">
        <v>8.5299999999999994</v>
      </c>
      <c r="BN165">
        <v>65.38</v>
      </c>
      <c r="BO165">
        <v>65.38</v>
      </c>
      <c r="BQ165" t="s">
        <v>411</v>
      </c>
      <c r="BR165" t="s">
        <v>82</v>
      </c>
      <c r="BS165" s="3">
        <v>45994</v>
      </c>
      <c r="BT165" s="4">
        <v>0.39583333333333331</v>
      </c>
      <c r="BU165" t="s">
        <v>412</v>
      </c>
      <c r="BV165" t="s">
        <v>84</v>
      </c>
      <c r="BY165">
        <v>9576</v>
      </c>
      <c r="CA165" t="s">
        <v>413</v>
      </c>
      <c r="CC165" t="s">
        <v>177</v>
      </c>
      <c r="CD165">
        <v>2013</v>
      </c>
      <c r="CE165" t="s">
        <v>86</v>
      </c>
      <c r="CF165" s="3">
        <v>45995</v>
      </c>
      <c r="CI165">
        <v>1</v>
      </c>
      <c r="CJ165">
        <v>1</v>
      </c>
      <c r="CK165">
        <v>22</v>
      </c>
      <c r="CL165" t="s">
        <v>87</v>
      </c>
    </row>
    <row r="166" spans="1:90" x14ac:dyDescent="0.3">
      <c r="A166" t="s">
        <v>72</v>
      </c>
      <c r="B166" t="s">
        <v>73</v>
      </c>
      <c r="C166" t="s">
        <v>74</v>
      </c>
      <c r="E166" t="str">
        <f>"080069611425"</f>
        <v>080069611425</v>
      </c>
      <c r="F166" s="3">
        <v>45993</v>
      </c>
      <c r="G166">
        <v>202609</v>
      </c>
      <c r="H166" t="s">
        <v>75</v>
      </c>
      <c r="I166" t="s">
        <v>76</v>
      </c>
      <c r="J166" t="s">
        <v>77</v>
      </c>
      <c r="K166" t="s">
        <v>78</v>
      </c>
      <c r="L166" t="s">
        <v>141</v>
      </c>
      <c r="M166" t="s">
        <v>142</v>
      </c>
      <c r="N166" t="s">
        <v>608</v>
      </c>
      <c r="O166" t="s">
        <v>89</v>
      </c>
      <c r="P166" t="str">
        <f>"4170071388                    "</f>
        <v xml:space="preserve">4170071388                    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94.48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1</v>
      </c>
      <c r="BI166">
        <v>8.3000000000000007</v>
      </c>
      <c r="BJ166">
        <v>7.7</v>
      </c>
      <c r="BK166">
        <v>8.5</v>
      </c>
      <c r="BL166">
        <v>309.20999999999998</v>
      </c>
      <c r="BM166">
        <v>46.38</v>
      </c>
      <c r="BN166">
        <v>355.59</v>
      </c>
      <c r="BO166">
        <v>355.59</v>
      </c>
      <c r="BQ166" t="s">
        <v>609</v>
      </c>
      <c r="BR166" t="s">
        <v>82</v>
      </c>
      <c r="BS166" s="3">
        <v>45994</v>
      </c>
      <c r="BT166" s="4">
        <v>0.38819444444444445</v>
      </c>
      <c r="BU166" t="s">
        <v>610</v>
      </c>
      <c r="BV166" t="s">
        <v>84</v>
      </c>
      <c r="BY166">
        <v>38391.599999999999</v>
      </c>
      <c r="CA166" t="s">
        <v>315</v>
      </c>
      <c r="CC166" t="s">
        <v>142</v>
      </c>
      <c r="CD166">
        <v>6070</v>
      </c>
      <c r="CE166" t="s">
        <v>86</v>
      </c>
      <c r="CF166" s="3">
        <v>45994</v>
      </c>
      <c r="CI166">
        <v>1</v>
      </c>
      <c r="CJ166">
        <v>1</v>
      </c>
      <c r="CK166">
        <v>21</v>
      </c>
      <c r="CL166" t="s">
        <v>87</v>
      </c>
    </row>
    <row r="167" spans="1:90" x14ac:dyDescent="0.3">
      <c r="A167" t="s">
        <v>72</v>
      </c>
      <c r="B167" t="s">
        <v>73</v>
      </c>
      <c r="C167" t="s">
        <v>74</v>
      </c>
      <c r="E167" t="str">
        <f>"080069611475"</f>
        <v>080069611475</v>
      </c>
      <c r="F167" s="3">
        <v>45993</v>
      </c>
      <c r="G167">
        <v>202609</v>
      </c>
      <c r="H167" t="s">
        <v>75</v>
      </c>
      <c r="I167" t="s">
        <v>76</v>
      </c>
      <c r="J167" t="s">
        <v>77</v>
      </c>
      <c r="K167" t="s">
        <v>78</v>
      </c>
      <c r="L167" t="s">
        <v>141</v>
      </c>
      <c r="M167" t="s">
        <v>142</v>
      </c>
      <c r="N167" t="s">
        <v>587</v>
      </c>
      <c r="O167" t="s">
        <v>89</v>
      </c>
      <c r="P167" t="str">
        <f>"4170071362                    "</f>
        <v xml:space="preserve">4170071362                    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155.61000000000001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3</v>
      </c>
      <c r="BI167">
        <v>14</v>
      </c>
      <c r="BJ167">
        <v>12.2</v>
      </c>
      <c r="BK167">
        <v>14</v>
      </c>
      <c r="BL167">
        <v>509.27</v>
      </c>
      <c r="BM167">
        <v>76.39</v>
      </c>
      <c r="BN167">
        <v>585.66</v>
      </c>
      <c r="BO167">
        <v>585.66</v>
      </c>
      <c r="BQ167" t="s">
        <v>588</v>
      </c>
      <c r="BR167" t="s">
        <v>82</v>
      </c>
      <c r="BS167" s="3">
        <v>45994</v>
      </c>
      <c r="BT167" s="4">
        <v>0.42291666666666666</v>
      </c>
      <c r="BU167" t="s">
        <v>611</v>
      </c>
      <c r="BV167" t="s">
        <v>84</v>
      </c>
      <c r="BY167">
        <v>60773</v>
      </c>
      <c r="CA167" t="s">
        <v>571</v>
      </c>
      <c r="CC167" t="s">
        <v>142</v>
      </c>
      <c r="CD167">
        <v>6001</v>
      </c>
      <c r="CE167" t="s">
        <v>86</v>
      </c>
      <c r="CF167" s="3">
        <v>45994</v>
      </c>
      <c r="CI167">
        <v>1</v>
      </c>
      <c r="CJ167">
        <v>1</v>
      </c>
      <c r="CK167">
        <v>21</v>
      </c>
      <c r="CL167" t="s">
        <v>87</v>
      </c>
    </row>
    <row r="168" spans="1:90" x14ac:dyDescent="0.3">
      <c r="A168" t="s">
        <v>72</v>
      </c>
      <c r="B168" t="s">
        <v>73</v>
      </c>
      <c r="C168" t="s">
        <v>74</v>
      </c>
      <c r="E168" t="str">
        <f>"080069611693"</f>
        <v>080069611693</v>
      </c>
      <c r="F168" s="3">
        <v>45993</v>
      </c>
      <c r="G168">
        <v>202609</v>
      </c>
      <c r="H168" t="s">
        <v>75</v>
      </c>
      <c r="I168" t="s">
        <v>76</v>
      </c>
      <c r="J168" t="s">
        <v>77</v>
      </c>
      <c r="K168" t="s">
        <v>78</v>
      </c>
      <c r="L168" t="s">
        <v>612</v>
      </c>
      <c r="M168" t="s">
        <v>613</v>
      </c>
      <c r="N168" t="s">
        <v>614</v>
      </c>
      <c r="O168" t="s">
        <v>89</v>
      </c>
      <c r="P168" t="str">
        <f>"4170071376                    "</f>
        <v xml:space="preserve">4170071376                    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159.83000000000001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1</v>
      </c>
      <c r="BI168">
        <v>8</v>
      </c>
      <c r="BJ168">
        <v>6.2</v>
      </c>
      <c r="BK168">
        <v>8</v>
      </c>
      <c r="BL168">
        <v>523.08000000000004</v>
      </c>
      <c r="BM168">
        <v>78.459999999999994</v>
      </c>
      <c r="BN168">
        <v>601.54</v>
      </c>
      <c r="BO168">
        <v>601.54</v>
      </c>
      <c r="BQ168" t="s">
        <v>615</v>
      </c>
      <c r="BR168" t="s">
        <v>82</v>
      </c>
      <c r="BS168" s="3">
        <v>45994</v>
      </c>
      <c r="BT168" s="4">
        <v>0.52986111111111112</v>
      </c>
      <c r="BU168" t="s">
        <v>616</v>
      </c>
      <c r="BV168" t="s">
        <v>84</v>
      </c>
      <c r="BY168">
        <v>31200</v>
      </c>
      <c r="CA168" t="s">
        <v>617</v>
      </c>
      <c r="CC168" t="s">
        <v>613</v>
      </c>
      <c r="CD168">
        <v>6850</v>
      </c>
      <c r="CE168" t="s">
        <v>93</v>
      </c>
      <c r="CF168" s="3">
        <v>45995</v>
      </c>
      <c r="CI168">
        <v>2</v>
      </c>
      <c r="CJ168">
        <v>1</v>
      </c>
      <c r="CK168">
        <v>23</v>
      </c>
      <c r="CL168" t="s">
        <v>87</v>
      </c>
    </row>
    <row r="169" spans="1:90" x14ac:dyDescent="0.3">
      <c r="A169" t="s">
        <v>72</v>
      </c>
      <c r="B169" t="s">
        <v>73</v>
      </c>
      <c r="C169" t="s">
        <v>74</v>
      </c>
      <c r="E169" t="str">
        <f>"080069611741"</f>
        <v>080069611741</v>
      </c>
      <c r="F169" s="3">
        <v>45993</v>
      </c>
      <c r="G169">
        <v>202609</v>
      </c>
      <c r="H169" t="s">
        <v>75</v>
      </c>
      <c r="I169" t="s">
        <v>76</v>
      </c>
      <c r="J169" t="s">
        <v>77</v>
      </c>
      <c r="K169" t="s">
        <v>78</v>
      </c>
      <c r="L169" t="s">
        <v>141</v>
      </c>
      <c r="M169" t="s">
        <v>142</v>
      </c>
      <c r="N169" t="s">
        <v>618</v>
      </c>
      <c r="O169" t="s">
        <v>89</v>
      </c>
      <c r="P169" t="str">
        <f>"4170071397                    "</f>
        <v xml:space="preserve">4170071397                    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22.24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1</v>
      </c>
      <c r="BI169">
        <v>1</v>
      </c>
      <c r="BJ169">
        <v>0.2</v>
      </c>
      <c r="BK169">
        <v>1</v>
      </c>
      <c r="BL169">
        <v>72.78</v>
      </c>
      <c r="BM169">
        <v>10.92</v>
      </c>
      <c r="BN169">
        <v>83.7</v>
      </c>
      <c r="BO169">
        <v>83.7</v>
      </c>
      <c r="BQ169" t="s">
        <v>619</v>
      </c>
      <c r="BR169" t="s">
        <v>82</v>
      </c>
      <c r="BS169" s="3">
        <v>45994</v>
      </c>
      <c r="BT169" s="4">
        <v>0.41805555555555557</v>
      </c>
      <c r="BU169" t="s">
        <v>620</v>
      </c>
      <c r="BV169" t="s">
        <v>84</v>
      </c>
      <c r="BY169">
        <v>1200</v>
      </c>
      <c r="CA169" t="s">
        <v>277</v>
      </c>
      <c r="CC169" t="s">
        <v>142</v>
      </c>
      <c r="CD169">
        <v>6001</v>
      </c>
      <c r="CE169" t="s">
        <v>134</v>
      </c>
      <c r="CF169" s="3">
        <v>45994</v>
      </c>
      <c r="CI169">
        <v>1</v>
      </c>
      <c r="CJ169">
        <v>1</v>
      </c>
      <c r="CK169">
        <v>21</v>
      </c>
      <c r="CL169" t="s">
        <v>87</v>
      </c>
    </row>
    <row r="170" spans="1:90" x14ac:dyDescent="0.3">
      <c r="A170" t="s">
        <v>72</v>
      </c>
      <c r="B170" t="s">
        <v>73</v>
      </c>
      <c r="C170" t="s">
        <v>74</v>
      </c>
      <c r="E170" t="str">
        <f>"080069612063"</f>
        <v>080069612063</v>
      </c>
      <c r="F170" s="3">
        <v>45993</v>
      </c>
      <c r="G170">
        <v>202609</v>
      </c>
      <c r="H170" t="s">
        <v>75</v>
      </c>
      <c r="I170" t="s">
        <v>76</v>
      </c>
      <c r="J170" t="s">
        <v>77</v>
      </c>
      <c r="K170" t="s">
        <v>78</v>
      </c>
      <c r="L170" t="s">
        <v>141</v>
      </c>
      <c r="M170" t="s">
        <v>142</v>
      </c>
      <c r="N170" t="s">
        <v>568</v>
      </c>
      <c r="O170" t="s">
        <v>80</v>
      </c>
      <c r="P170" t="str">
        <f>"4170071365                    "</f>
        <v xml:space="preserve">4170071365                    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238.54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5</v>
      </c>
      <c r="BI170">
        <v>97.7</v>
      </c>
      <c r="BJ170">
        <v>124.9</v>
      </c>
      <c r="BK170">
        <v>125</v>
      </c>
      <c r="BL170">
        <v>786.78</v>
      </c>
      <c r="BM170">
        <v>118.02</v>
      </c>
      <c r="BN170">
        <v>904.8</v>
      </c>
      <c r="BO170">
        <v>904.8</v>
      </c>
      <c r="BQ170" t="s">
        <v>569</v>
      </c>
      <c r="BR170" t="s">
        <v>82</v>
      </c>
      <c r="BS170" s="3">
        <v>45999</v>
      </c>
      <c r="BT170" s="4">
        <v>0.55555555555555558</v>
      </c>
      <c r="BU170" t="s">
        <v>621</v>
      </c>
      <c r="BV170" t="s">
        <v>87</v>
      </c>
      <c r="BW170" t="s">
        <v>622</v>
      </c>
      <c r="BX170" t="s">
        <v>623</v>
      </c>
      <c r="BY170">
        <v>624488.24</v>
      </c>
      <c r="CC170" t="s">
        <v>142</v>
      </c>
      <c r="CD170">
        <v>6056</v>
      </c>
      <c r="CE170" t="s">
        <v>86</v>
      </c>
      <c r="CF170" s="3">
        <v>45999</v>
      </c>
      <c r="CI170">
        <v>3</v>
      </c>
      <c r="CJ170">
        <v>4</v>
      </c>
      <c r="CK170">
        <v>41</v>
      </c>
      <c r="CL170" t="s">
        <v>87</v>
      </c>
    </row>
    <row r="171" spans="1:90" x14ac:dyDescent="0.3">
      <c r="A171" t="s">
        <v>72</v>
      </c>
      <c r="B171" t="s">
        <v>73</v>
      </c>
      <c r="C171" t="s">
        <v>74</v>
      </c>
      <c r="E171" t="str">
        <f>"080069612415"</f>
        <v>080069612415</v>
      </c>
      <c r="F171" s="3">
        <v>45993</v>
      </c>
      <c r="G171">
        <v>202609</v>
      </c>
      <c r="H171" t="s">
        <v>75</v>
      </c>
      <c r="I171" t="s">
        <v>76</v>
      </c>
      <c r="J171" t="s">
        <v>77</v>
      </c>
      <c r="K171" t="s">
        <v>78</v>
      </c>
      <c r="L171" t="s">
        <v>141</v>
      </c>
      <c r="M171" t="s">
        <v>142</v>
      </c>
      <c r="N171" t="s">
        <v>486</v>
      </c>
      <c r="O171" t="s">
        <v>89</v>
      </c>
      <c r="P171" t="str">
        <f>"4170071402                    "</f>
        <v xml:space="preserve">4170071402                    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138.94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1</v>
      </c>
      <c r="BI171">
        <v>8.4</v>
      </c>
      <c r="BJ171">
        <v>12.4</v>
      </c>
      <c r="BK171">
        <v>12.5</v>
      </c>
      <c r="BL171">
        <v>454.71</v>
      </c>
      <c r="BM171">
        <v>68.209999999999994</v>
      </c>
      <c r="BN171">
        <v>522.91999999999996</v>
      </c>
      <c r="BO171">
        <v>522.91999999999996</v>
      </c>
      <c r="BQ171" t="s">
        <v>487</v>
      </c>
      <c r="BR171" t="s">
        <v>82</v>
      </c>
      <c r="BS171" s="3">
        <v>45994</v>
      </c>
      <c r="BT171" s="4">
        <v>0.42083333333333334</v>
      </c>
      <c r="BU171" t="s">
        <v>624</v>
      </c>
      <c r="BV171" t="s">
        <v>84</v>
      </c>
      <c r="BY171">
        <v>61968.06</v>
      </c>
      <c r="CA171" t="s">
        <v>489</v>
      </c>
      <c r="CC171" t="s">
        <v>142</v>
      </c>
      <c r="CD171">
        <v>6012</v>
      </c>
      <c r="CE171" t="s">
        <v>93</v>
      </c>
      <c r="CF171" s="3">
        <v>45994</v>
      </c>
      <c r="CI171">
        <v>1</v>
      </c>
      <c r="CJ171">
        <v>1</v>
      </c>
      <c r="CK171">
        <v>21</v>
      </c>
      <c r="CL171" t="s">
        <v>87</v>
      </c>
    </row>
    <row r="172" spans="1:90" x14ac:dyDescent="0.3">
      <c r="A172" t="s">
        <v>72</v>
      </c>
      <c r="B172" t="s">
        <v>73</v>
      </c>
      <c r="C172" t="s">
        <v>74</v>
      </c>
      <c r="E172" t="str">
        <f>"080069612439"</f>
        <v>080069612439</v>
      </c>
      <c r="F172" s="3">
        <v>45993</v>
      </c>
      <c r="G172">
        <v>202609</v>
      </c>
      <c r="H172" t="s">
        <v>75</v>
      </c>
      <c r="I172" t="s">
        <v>76</v>
      </c>
      <c r="J172" t="s">
        <v>77</v>
      </c>
      <c r="K172" t="s">
        <v>78</v>
      </c>
      <c r="L172" t="s">
        <v>141</v>
      </c>
      <c r="M172" t="s">
        <v>142</v>
      </c>
      <c r="N172" t="s">
        <v>486</v>
      </c>
      <c r="O172" t="s">
        <v>89</v>
      </c>
      <c r="P172" t="str">
        <f>"4170071401                    "</f>
        <v xml:space="preserve">4170071401                    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88.92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1</v>
      </c>
      <c r="BI172">
        <v>5.6</v>
      </c>
      <c r="BJ172">
        <v>7.6</v>
      </c>
      <c r="BK172">
        <v>8</v>
      </c>
      <c r="BL172">
        <v>291.02</v>
      </c>
      <c r="BM172">
        <v>43.65</v>
      </c>
      <c r="BN172">
        <v>334.67</v>
      </c>
      <c r="BO172">
        <v>334.67</v>
      </c>
      <c r="BQ172" t="s">
        <v>487</v>
      </c>
      <c r="BR172" t="s">
        <v>82</v>
      </c>
      <c r="BS172" s="3">
        <v>45994</v>
      </c>
      <c r="BT172" s="4">
        <v>0.42152777777777778</v>
      </c>
      <c r="BU172" t="s">
        <v>624</v>
      </c>
      <c r="BV172" t="s">
        <v>84</v>
      </c>
      <c r="BY172">
        <v>38214</v>
      </c>
      <c r="CA172" t="s">
        <v>489</v>
      </c>
      <c r="CC172" t="s">
        <v>142</v>
      </c>
      <c r="CD172">
        <v>6012</v>
      </c>
      <c r="CE172" t="s">
        <v>93</v>
      </c>
      <c r="CF172" s="3">
        <v>45994</v>
      </c>
      <c r="CI172">
        <v>1</v>
      </c>
      <c r="CJ172">
        <v>1</v>
      </c>
      <c r="CK172">
        <v>21</v>
      </c>
      <c r="CL172" t="s">
        <v>87</v>
      </c>
    </row>
    <row r="173" spans="1:90" x14ac:dyDescent="0.3">
      <c r="A173" t="s">
        <v>72</v>
      </c>
      <c r="B173" t="s">
        <v>73</v>
      </c>
      <c r="C173" t="s">
        <v>74</v>
      </c>
      <c r="E173" t="str">
        <f>"080069612485"</f>
        <v>080069612485</v>
      </c>
      <c r="F173" s="3">
        <v>45993</v>
      </c>
      <c r="G173">
        <v>202609</v>
      </c>
      <c r="H173" t="s">
        <v>75</v>
      </c>
      <c r="I173" t="s">
        <v>76</v>
      </c>
      <c r="J173" t="s">
        <v>77</v>
      </c>
      <c r="K173" t="s">
        <v>78</v>
      </c>
      <c r="L173" t="s">
        <v>625</v>
      </c>
      <c r="M173" t="s">
        <v>626</v>
      </c>
      <c r="N173" t="s">
        <v>627</v>
      </c>
      <c r="O173" t="s">
        <v>89</v>
      </c>
      <c r="P173" t="str">
        <f>"4170071367                    "</f>
        <v xml:space="preserve">4170071367                    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33.35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1</v>
      </c>
      <c r="BI173">
        <v>0.8</v>
      </c>
      <c r="BJ173">
        <v>2.6</v>
      </c>
      <c r="BK173">
        <v>3</v>
      </c>
      <c r="BL173">
        <v>109.15</v>
      </c>
      <c r="BM173">
        <v>16.37</v>
      </c>
      <c r="BN173">
        <v>125.52</v>
      </c>
      <c r="BO173">
        <v>125.52</v>
      </c>
      <c r="BQ173" t="s">
        <v>628</v>
      </c>
      <c r="BR173" t="s">
        <v>82</v>
      </c>
      <c r="BS173" s="3">
        <v>45994</v>
      </c>
      <c r="BT173" s="4">
        <v>0.375</v>
      </c>
      <c r="BU173" t="s">
        <v>629</v>
      </c>
      <c r="BV173" t="s">
        <v>84</v>
      </c>
      <c r="BY173">
        <v>13145.85</v>
      </c>
      <c r="CA173" t="s">
        <v>630</v>
      </c>
      <c r="CC173" t="s">
        <v>626</v>
      </c>
      <c r="CD173">
        <v>4026</v>
      </c>
      <c r="CE173" t="s">
        <v>86</v>
      </c>
      <c r="CF173" s="3">
        <v>45995</v>
      </c>
      <c r="CI173">
        <v>1</v>
      </c>
      <c r="CJ173">
        <v>1</v>
      </c>
      <c r="CK173">
        <v>21</v>
      </c>
      <c r="CL173" t="s">
        <v>87</v>
      </c>
    </row>
    <row r="174" spans="1:90" x14ac:dyDescent="0.3">
      <c r="A174" t="s">
        <v>72</v>
      </c>
      <c r="B174" t="s">
        <v>73</v>
      </c>
      <c r="C174" t="s">
        <v>74</v>
      </c>
      <c r="E174" t="str">
        <f>"080069612521"</f>
        <v>080069612521</v>
      </c>
      <c r="F174" s="3">
        <v>45993</v>
      </c>
      <c r="G174">
        <v>202609</v>
      </c>
      <c r="H174" t="s">
        <v>75</v>
      </c>
      <c r="I174" t="s">
        <v>76</v>
      </c>
      <c r="J174" t="s">
        <v>77</v>
      </c>
      <c r="K174" t="s">
        <v>78</v>
      </c>
      <c r="L174" t="s">
        <v>176</v>
      </c>
      <c r="M174" t="s">
        <v>177</v>
      </c>
      <c r="N174" t="s">
        <v>631</v>
      </c>
      <c r="O174" t="s">
        <v>340</v>
      </c>
      <c r="P174" t="str">
        <f>"4170071377                    "</f>
        <v xml:space="preserve">4170071377                    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17.38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1</v>
      </c>
      <c r="BI174">
        <v>5</v>
      </c>
      <c r="BJ174">
        <v>1.7</v>
      </c>
      <c r="BK174">
        <v>5</v>
      </c>
      <c r="BL174">
        <v>56.87</v>
      </c>
      <c r="BM174">
        <v>8.5299999999999994</v>
      </c>
      <c r="BN174">
        <v>65.400000000000006</v>
      </c>
      <c r="BO174">
        <v>65.400000000000006</v>
      </c>
      <c r="BQ174" t="s">
        <v>632</v>
      </c>
      <c r="BR174" t="s">
        <v>82</v>
      </c>
      <c r="BS174" s="3">
        <v>45994</v>
      </c>
      <c r="BT174" s="4">
        <v>0.47361111111111109</v>
      </c>
      <c r="BU174" t="s">
        <v>633</v>
      </c>
      <c r="BV174" t="s">
        <v>84</v>
      </c>
      <c r="BY174">
        <v>8436</v>
      </c>
      <c r="CA174" t="s">
        <v>182</v>
      </c>
      <c r="CC174" t="s">
        <v>177</v>
      </c>
      <c r="CD174">
        <v>2197</v>
      </c>
      <c r="CE174" t="s">
        <v>93</v>
      </c>
      <c r="CF174" s="3">
        <v>45994</v>
      </c>
      <c r="CI174">
        <v>1</v>
      </c>
      <c r="CJ174">
        <v>1</v>
      </c>
      <c r="CK174">
        <v>32</v>
      </c>
      <c r="CL174" t="s">
        <v>87</v>
      </c>
    </row>
    <row r="175" spans="1:90" x14ac:dyDescent="0.3">
      <c r="A175" t="s">
        <v>72</v>
      </c>
      <c r="B175" t="s">
        <v>73</v>
      </c>
      <c r="C175" t="s">
        <v>74</v>
      </c>
      <c r="E175" t="str">
        <f>"080069613092"</f>
        <v>080069613092</v>
      </c>
      <c r="F175" s="3">
        <v>45993</v>
      </c>
      <c r="G175">
        <v>202609</v>
      </c>
      <c r="H175" t="s">
        <v>75</v>
      </c>
      <c r="I175" t="s">
        <v>76</v>
      </c>
      <c r="J175" t="s">
        <v>77</v>
      </c>
      <c r="K175" t="s">
        <v>78</v>
      </c>
      <c r="L175" t="s">
        <v>156</v>
      </c>
      <c r="M175" t="s">
        <v>157</v>
      </c>
      <c r="N175" t="s">
        <v>634</v>
      </c>
      <c r="O175" t="s">
        <v>80</v>
      </c>
      <c r="P175" t="str">
        <f>"009943879298                  "</f>
        <v xml:space="preserve">009943879298                  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51.89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1</v>
      </c>
      <c r="BI175">
        <v>19.3</v>
      </c>
      <c r="BJ175">
        <v>17.100000000000001</v>
      </c>
      <c r="BK175">
        <v>20</v>
      </c>
      <c r="BL175">
        <v>175.93</v>
      </c>
      <c r="BM175">
        <v>26.39</v>
      </c>
      <c r="BN175">
        <v>202.32</v>
      </c>
      <c r="BO175">
        <v>202.32</v>
      </c>
      <c r="BQ175" t="s">
        <v>635</v>
      </c>
      <c r="BR175" t="s">
        <v>82</v>
      </c>
      <c r="BS175" s="3">
        <v>45995</v>
      </c>
      <c r="BT175" s="4">
        <v>0.61111111111111116</v>
      </c>
      <c r="BU175" t="s">
        <v>636</v>
      </c>
      <c r="BV175" t="s">
        <v>84</v>
      </c>
      <c r="BY175">
        <v>85451.520000000004</v>
      </c>
      <c r="CC175" t="s">
        <v>157</v>
      </c>
      <c r="CD175">
        <v>7535</v>
      </c>
      <c r="CE175" t="s">
        <v>86</v>
      </c>
      <c r="CF175" s="3">
        <v>46000</v>
      </c>
      <c r="CI175">
        <v>3</v>
      </c>
      <c r="CJ175">
        <v>2</v>
      </c>
      <c r="CK175">
        <v>41</v>
      </c>
      <c r="CL175" t="s">
        <v>87</v>
      </c>
    </row>
    <row r="176" spans="1:90" x14ac:dyDescent="0.3">
      <c r="A176" t="s">
        <v>72</v>
      </c>
      <c r="B176" t="s">
        <v>73</v>
      </c>
      <c r="C176" t="s">
        <v>74</v>
      </c>
      <c r="E176" t="str">
        <f>"080069613167"</f>
        <v>080069613167</v>
      </c>
      <c r="F176" s="3">
        <v>45993</v>
      </c>
      <c r="G176">
        <v>202609</v>
      </c>
      <c r="H176" t="s">
        <v>75</v>
      </c>
      <c r="I176" t="s">
        <v>76</v>
      </c>
      <c r="J176" t="s">
        <v>77</v>
      </c>
      <c r="K176" t="s">
        <v>78</v>
      </c>
      <c r="L176" t="s">
        <v>141</v>
      </c>
      <c r="M176" t="s">
        <v>142</v>
      </c>
      <c r="N176" t="s">
        <v>486</v>
      </c>
      <c r="O176" t="s">
        <v>89</v>
      </c>
      <c r="P176" t="str">
        <f>"4170071399                    "</f>
        <v xml:space="preserve">4170071399                    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66.7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1</v>
      </c>
      <c r="BI176">
        <v>3.6</v>
      </c>
      <c r="BJ176">
        <v>5.8</v>
      </c>
      <c r="BK176">
        <v>6</v>
      </c>
      <c r="BL176">
        <v>218.28</v>
      </c>
      <c r="BM176">
        <v>32.74</v>
      </c>
      <c r="BN176">
        <v>251.02</v>
      </c>
      <c r="BO176">
        <v>251.02</v>
      </c>
      <c r="BQ176" t="s">
        <v>487</v>
      </c>
      <c r="BR176" t="s">
        <v>82</v>
      </c>
      <c r="BS176" s="3">
        <v>45994</v>
      </c>
      <c r="BT176" s="4">
        <v>0.42083333333333334</v>
      </c>
      <c r="BU176" t="s">
        <v>624</v>
      </c>
      <c r="BV176" t="s">
        <v>84</v>
      </c>
      <c r="BY176">
        <v>29114.52</v>
      </c>
      <c r="CA176" t="s">
        <v>489</v>
      </c>
      <c r="CC176" t="s">
        <v>142</v>
      </c>
      <c r="CD176">
        <v>6012</v>
      </c>
      <c r="CE176" t="s">
        <v>93</v>
      </c>
      <c r="CF176" s="3">
        <v>45994</v>
      </c>
      <c r="CI176">
        <v>1</v>
      </c>
      <c r="CJ176">
        <v>1</v>
      </c>
      <c r="CK176">
        <v>21</v>
      </c>
      <c r="CL176" t="s">
        <v>87</v>
      </c>
    </row>
    <row r="177" spans="1:90" x14ac:dyDescent="0.3">
      <c r="A177" t="s">
        <v>72</v>
      </c>
      <c r="B177" t="s">
        <v>73</v>
      </c>
      <c r="C177" t="s">
        <v>74</v>
      </c>
      <c r="E177" t="str">
        <f>"080069613223"</f>
        <v>080069613223</v>
      </c>
      <c r="F177" s="3">
        <v>45993</v>
      </c>
      <c r="G177">
        <v>202609</v>
      </c>
      <c r="H177" t="s">
        <v>75</v>
      </c>
      <c r="I177" t="s">
        <v>76</v>
      </c>
      <c r="J177" t="s">
        <v>77</v>
      </c>
      <c r="K177" t="s">
        <v>78</v>
      </c>
      <c r="L177" t="s">
        <v>625</v>
      </c>
      <c r="M177" t="s">
        <v>626</v>
      </c>
      <c r="N177" t="s">
        <v>627</v>
      </c>
      <c r="O177" t="s">
        <v>89</v>
      </c>
      <c r="P177" t="str">
        <f>"4170071406                    "</f>
        <v xml:space="preserve">4170071406                    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22.24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1</v>
      </c>
      <c r="BI177">
        <v>1</v>
      </c>
      <c r="BJ177">
        <v>1.1000000000000001</v>
      </c>
      <c r="BK177">
        <v>1.5</v>
      </c>
      <c r="BL177">
        <v>72.78</v>
      </c>
      <c r="BM177">
        <v>10.92</v>
      </c>
      <c r="BN177">
        <v>83.7</v>
      </c>
      <c r="BO177">
        <v>83.7</v>
      </c>
      <c r="BQ177" t="s">
        <v>628</v>
      </c>
      <c r="BR177" t="s">
        <v>82</v>
      </c>
      <c r="BS177" s="3">
        <v>45994</v>
      </c>
      <c r="BT177" s="4">
        <v>0.37569444444444444</v>
      </c>
      <c r="BU177" t="s">
        <v>629</v>
      </c>
      <c r="BV177" t="s">
        <v>84</v>
      </c>
      <c r="BY177">
        <v>5510</v>
      </c>
      <c r="CA177" t="s">
        <v>630</v>
      </c>
      <c r="CC177" t="s">
        <v>626</v>
      </c>
      <c r="CD177">
        <v>4026</v>
      </c>
      <c r="CE177" t="s">
        <v>86</v>
      </c>
      <c r="CF177" s="3">
        <v>45995</v>
      </c>
      <c r="CI177">
        <v>1</v>
      </c>
      <c r="CJ177">
        <v>1</v>
      </c>
      <c r="CK177">
        <v>21</v>
      </c>
      <c r="CL177" t="s">
        <v>87</v>
      </c>
    </row>
    <row r="178" spans="1:90" x14ac:dyDescent="0.3">
      <c r="A178" t="s">
        <v>72</v>
      </c>
      <c r="B178" t="s">
        <v>73</v>
      </c>
      <c r="C178" t="s">
        <v>74</v>
      </c>
      <c r="E178" t="str">
        <f>"080069613260"</f>
        <v>080069613260</v>
      </c>
      <c r="F178" s="3">
        <v>45993</v>
      </c>
      <c r="G178">
        <v>202609</v>
      </c>
      <c r="H178" t="s">
        <v>75</v>
      </c>
      <c r="I178" t="s">
        <v>76</v>
      </c>
      <c r="J178" t="s">
        <v>77</v>
      </c>
      <c r="K178" t="s">
        <v>78</v>
      </c>
      <c r="L178" t="s">
        <v>141</v>
      </c>
      <c r="M178" t="s">
        <v>142</v>
      </c>
      <c r="N178" t="s">
        <v>637</v>
      </c>
      <c r="O178" t="s">
        <v>89</v>
      </c>
      <c r="P178" t="str">
        <f>"4170071398                    "</f>
        <v xml:space="preserve">4170071398                    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22.24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1</v>
      </c>
      <c r="BI178">
        <v>1</v>
      </c>
      <c r="BJ178">
        <v>0.2</v>
      </c>
      <c r="BK178">
        <v>1</v>
      </c>
      <c r="BL178">
        <v>72.78</v>
      </c>
      <c r="BM178">
        <v>10.92</v>
      </c>
      <c r="BN178">
        <v>83.7</v>
      </c>
      <c r="BO178">
        <v>83.7</v>
      </c>
      <c r="BQ178" t="s">
        <v>638</v>
      </c>
      <c r="BR178" t="s">
        <v>82</v>
      </c>
      <c r="BS178" s="3">
        <v>45994</v>
      </c>
      <c r="BT178" s="4">
        <v>0.37847222222222221</v>
      </c>
      <c r="BU178" t="s">
        <v>360</v>
      </c>
      <c r="BV178" t="s">
        <v>84</v>
      </c>
      <c r="BY178">
        <v>1200</v>
      </c>
      <c r="CA178" t="s">
        <v>489</v>
      </c>
      <c r="CC178" t="s">
        <v>142</v>
      </c>
      <c r="CD178">
        <v>6001</v>
      </c>
      <c r="CE178" t="s">
        <v>134</v>
      </c>
      <c r="CF178" s="3">
        <v>45994</v>
      </c>
      <c r="CI178">
        <v>1</v>
      </c>
      <c r="CJ178">
        <v>1</v>
      </c>
      <c r="CK178">
        <v>21</v>
      </c>
      <c r="CL178" t="s">
        <v>87</v>
      </c>
    </row>
    <row r="179" spans="1:90" x14ac:dyDescent="0.3">
      <c r="A179" t="s">
        <v>72</v>
      </c>
      <c r="B179" t="s">
        <v>73</v>
      </c>
      <c r="C179" t="s">
        <v>74</v>
      </c>
      <c r="E179" t="str">
        <f>"080069613282"</f>
        <v>080069613282</v>
      </c>
      <c r="F179" s="3">
        <v>45993</v>
      </c>
      <c r="G179">
        <v>202609</v>
      </c>
      <c r="H179" t="s">
        <v>75</v>
      </c>
      <c r="I179" t="s">
        <v>76</v>
      </c>
      <c r="J179" t="s">
        <v>77</v>
      </c>
      <c r="K179" t="s">
        <v>78</v>
      </c>
      <c r="L179" t="s">
        <v>141</v>
      </c>
      <c r="M179" t="s">
        <v>142</v>
      </c>
      <c r="N179" t="s">
        <v>486</v>
      </c>
      <c r="O179" t="s">
        <v>89</v>
      </c>
      <c r="P179" t="str">
        <f>"4170071400                    "</f>
        <v xml:space="preserve">4170071400                    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50.02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1</v>
      </c>
      <c r="BI179">
        <v>2.2999999999999998</v>
      </c>
      <c r="BJ179">
        <v>4.3</v>
      </c>
      <c r="BK179">
        <v>4.5</v>
      </c>
      <c r="BL179">
        <v>163.71</v>
      </c>
      <c r="BM179">
        <v>24.56</v>
      </c>
      <c r="BN179">
        <v>188.27</v>
      </c>
      <c r="BO179">
        <v>188.27</v>
      </c>
      <c r="BQ179" t="s">
        <v>487</v>
      </c>
      <c r="BR179" t="s">
        <v>82</v>
      </c>
      <c r="BS179" s="3">
        <v>45994</v>
      </c>
      <c r="BT179" s="4">
        <v>0.42152777777777778</v>
      </c>
      <c r="BU179" t="s">
        <v>624</v>
      </c>
      <c r="BV179" t="s">
        <v>84</v>
      </c>
      <c r="BY179">
        <v>21542.400000000001</v>
      </c>
      <c r="CA179" t="s">
        <v>489</v>
      </c>
      <c r="CC179" t="s">
        <v>142</v>
      </c>
      <c r="CD179">
        <v>6012</v>
      </c>
      <c r="CE179" t="s">
        <v>93</v>
      </c>
      <c r="CF179" s="3">
        <v>45994</v>
      </c>
      <c r="CI179">
        <v>1</v>
      </c>
      <c r="CJ179">
        <v>1</v>
      </c>
      <c r="CK179">
        <v>21</v>
      </c>
      <c r="CL179" t="s">
        <v>87</v>
      </c>
    </row>
    <row r="180" spans="1:90" x14ac:dyDescent="0.3">
      <c r="A180" t="s">
        <v>72</v>
      </c>
      <c r="B180" t="s">
        <v>73</v>
      </c>
      <c r="C180" t="s">
        <v>74</v>
      </c>
      <c r="E180" t="str">
        <f>"080069613317"</f>
        <v>080069613317</v>
      </c>
      <c r="F180" s="3">
        <v>45993</v>
      </c>
      <c r="G180">
        <v>202609</v>
      </c>
      <c r="H180" t="s">
        <v>75</v>
      </c>
      <c r="I180" t="s">
        <v>76</v>
      </c>
      <c r="J180" t="s">
        <v>77</v>
      </c>
      <c r="K180" t="s">
        <v>78</v>
      </c>
      <c r="L180" t="s">
        <v>109</v>
      </c>
      <c r="M180" t="s">
        <v>110</v>
      </c>
      <c r="N180" t="s">
        <v>511</v>
      </c>
      <c r="O180" t="s">
        <v>89</v>
      </c>
      <c r="P180" t="str">
        <f>"4170071230                    "</f>
        <v xml:space="preserve">4170071230                    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46.51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1</v>
      </c>
      <c r="BI180">
        <v>3</v>
      </c>
      <c r="BJ180">
        <v>1.4</v>
      </c>
      <c r="BK180">
        <v>3</v>
      </c>
      <c r="BL180">
        <v>152.21</v>
      </c>
      <c r="BM180">
        <v>22.83</v>
      </c>
      <c r="BN180">
        <v>175.04</v>
      </c>
      <c r="BO180">
        <v>175.04</v>
      </c>
      <c r="BQ180" t="s">
        <v>512</v>
      </c>
      <c r="BR180" t="s">
        <v>82</v>
      </c>
      <c r="BS180" s="3">
        <v>45994</v>
      </c>
      <c r="BT180" s="4">
        <v>0.5541666666666667</v>
      </c>
      <c r="BU180" t="s">
        <v>639</v>
      </c>
      <c r="BV180" t="s">
        <v>87</v>
      </c>
      <c r="BW180" t="s">
        <v>174</v>
      </c>
      <c r="BX180" t="s">
        <v>640</v>
      </c>
      <c r="BY180">
        <v>7000</v>
      </c>
      <c r="CA180" t="s">
        <v>641</v>
      </c>
      <c r="CC180" t="s">
        <v>110</v>
      </c>
      <c r="CD180">
        <v>1748</v>
      </c>
      <c r="CE180" t="s">
        <v>86</v>
      </c>
      <c r="CF180" s="3">
        <v>45995</v>
      </c>
      <c r="CI180">
        <v>1</v>
      </c>
      <c r="CJ180">
        <v>1</v>
      </c>
      <c r="CK180">
        <v>24</v>
      </c>
      <c r="CL180" t="s">
        <v>87</v>
      </c>
    </row>
    <row r="181" spans="1:90" x14ac:dyDescent="0.3">
      <c r="A181" t="s">
        <v>72</v>
      </c>
      <c r="B181" t="s">
        <v>73</v>
      </c>
      <c r="C181" t="s">
        <v>74</v>
      </c>
      <c r="E181" t="str">
        <f>"080069613654"</f>
        <v>080069613654</v>
      </c>
      <c r="F181" s="3">
        <v>45993</v>
      </c>
      <c r="G181">
        <v>202609</v>
      </c>
      <c r="H181" t="s">
        <v>75</v>
      </c>
      <c r="I181" t="s">
        <v>76</v>
      </c>
      <c r="J181" t="s">
        <v>77</v>
      </c>
      <c r="K181" t="s">
        <v>78</v>
      </c>
      <c r="L181" t="s">
        <v>502</v>
      </c>
      <c r="M181" t="s">
        <v>503</v>
      </c>
      <c r="N181" t="s">
        <v>642</v>
      </c>
      <c r="O181" t="s">
        <v>89</v>
      </c>
      <c r="P181" t="str">
        <f>"4170071422                    "</f>
        <v xml:space="preserve">4170071422                    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17.37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1</v>
      </c>
      <c r="BI181">
        <v>1</v>
      </c>
      <c r="BJ181">
        <v>1.1000000000000001</v>
      </c>
      <c r="BK181">
        <v>2</v>
      </c>
      <c r="BL181">
        <v>56.85</v>
      </c>
      <c r="BM181">
        <v>8.5299999999999994</v>
      </c>
      <c r="BN181">
        <v>65.38</v>
      </c>
      <c r="BO181">
        <v>65.38</v>
      </c>
      <c r="BQ181" t="s">
        <v>643</v>
      </c>
      <c r="BR181" t="s">
        <v>82</v>
      </c>
      <c r="BS181" s="3">
        <v>45994</v>
      </c>
      <c r="BT181" s="4">
        <v>0.34722222222222221</v>
      </c>
      <c r="BU181" t="s">
        <v>644</v>
      </c>
      <c r="BV181" t="s">
        <v>84</v>
      </c>
      <c r="BY181">
        <v>5320</v>
      </c>
      <c r="CA181" t="s">
        <v>507</v>
      </c>
      <c r="CC181" t="s">
        <v>503</v>
      </c>
      <c r="CD181">
        <v>1559</v>
      </c>
      <c r="CE181" t="s">
        <v>86</v>
      </c>
      <c r="CF181" s="3">
        <v>45994</v>
      </c>
      <c r="CI181">
        <v>1</v>
      </c>
      <c r="CJ181">
        <v>1</v>
      </c>
      <c r="CK181">
        <v>22</v>
      </c>
      <c r="CL181" t="s">
        <v>87</v>
      </c>
    </row>
    <row r="182" spans="1:90" x14ac:dyDescent="0.3">
      <c r="A182" t="s">
        <v>72</v>
      </c>
      <c r="B182" t="s">
        <v>73</v>
      </c>
      <c r="C182" t="s">
        <v>74</v>
      </c>
      <c r="E182" t="str">
        <f>"080069613728"</f>
        <v>080069613728</v>
      </c>
      <c r="F182" s="3">
        <v>45993</v>
      </c>
      <c r="G182">
        <v>202609</v>
      </c>
      <c r="H182" t="s">
        <v>75</v>
      </c>
      <c r="I182" t="s">
        <v>76</v>
      </c>
      <c r="J182" t="s">
        <v>77</v>
      </c>
      <c r="K182" t="s">
        <v>78</v>
      </c>
      <c r="L182" t="s">
        <v>645</v>
      </c>
      <c r="M182" t="s">
        <v>646</v>
      </c>
      <c r="N182" t="s">
        <v>647</v>
      </c>
      <c r="O182" t="s">
        <v>89</v>
      </c>
      <c r="P182" t="str">
        <f>"4170071404                    "</f>
        <v xml:space="preserve">4170071404                    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43.09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17.41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1</v>
      </c>
      <c r="BI182">
        <v>1</v>
      </c>
      <c r="BJ182">
        <v>0.2</v>
      </c>
      <c r="BK182">
        <v>1</v>
      </c>
      <c r="BL182">
        <v>158.43</v>
      </c>
      <c r="BM182">
        <v>23.76</v>
      </c>
      <c r="BN182">
        <v>182.19</v>
      </c>
      <c r="BO182">
        <v>182.19</v>
      </c>
      <c r="BQ182" t="s">
        <v>648</v>
      </c>
      <c r="BR182" t="s">
        <v>82</v>
      </c>
      <c r="BS182" s="3">
        <v>45994</v>
      </c>
      <c r="BT182" s="4">
        <v>0.4375</v>
      </c>
      <c r="BU182" t="s">
        <v>649</v>
      </c>
      <c r="BV182" t="s">
        <v>84</v>
      </c>
      <c r="BY182">
        <v>1200</v>
      </c>
      <c r="BZ182" t="s">
        <v>30</v>
      </c>
      <c r="CA182" t="s">
        <v>650</v>
      </c>
      <c r="CC182" t="s">
        <v>646</v>
      </c>
      <c r="CD182">
        <v>3875</v>
      </c>
      <c r="CE182" t="s">
        <v>134</v>
      </c>
      <c r="CF182" s="3">
        <v>45994</v>
      </c>
      <c r="CI182">
        <v>2</v>
      </c>
      <c r="CJ182">
        <v>1</v>
      </c>
      <c r="CK182">
        <v>23</v>
      </c>
      <c r="CL182" t="s">
        <v>87</v>
      </c>
    </row>
    <row r="183" spans="1:90" x14ac:dyDescent="0.3">
      <c r="A183" t="s">
        <v>72</v>
      </c>
      <c r="B183" t="s">
        <v>73</v>
      </c>
      <c r="C183" t="s">
        <v>74</v>
      </c>
      <c r="E183" t="str">
        <f>"080069613757"</f>
        <v>080069613757</v>
      </c>
      <c r="F183" s="3">
        <v>45993</v>
      </c>
      <c r="G183">
        <v>202609</v>
      </c>
      <c r="H183" t="s">
        <v>75</v>
      </c>
      <c r="I183" t="s">
        <v>76</v>
      </c>
      <c r="J183" t="s">
        <v>77</v>
      </c>
      <c r="K183" t="s">
        <v>78</v>
      </c>
      <c r="L183" t="s">
        <v>302</v>
      </c>
      <c r="M183" t="s">
        <v>303</v>
      </c>
      <c r="N183" t="s">
        <v>651</v>
      </c>
      <c r="O183" t="s">
        <v>80</v>
      </c>
      <c r="P183" t="str">
        <f>"4170071444                    "</f>
        <v xml:space="preserve">4170071444                    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43.01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1</v>
      </c>
      <c r="BI183">
        <v>9.6999999999999993</v>
      </c>
      <c r="BJ183">
        <v>4.8</v>
      </c>
      <c r="BK183">
        <v>10</v>
      </c>
      <c r="BL183">
        <v>146.85</v>
      </c>
      <c r="BM183">
        <v>22.03</v>
      </c>
      <c r="BN183">
        <v>168.88</v>
      </c>
      <c r="BO183">
        <v>168.88</v>
      </c>
      <c r="BQ183" t="s">
        <v>652</v>
      </c>
      <c r="BR183" t="s">
        <v>82</v>
      </c>
      <c r="BS183" s="3">
        <v>45994</v>
      </c>
      <c r="BT183" s="4">
        <v>0.41111111111111109</v>
      </c>
      <c r="BU183" t="s">
        <v>653</v>
      </c>
      <c r="BV183" t="s">
        <v>84</v>
      </c>
      <c r="BY183">
        <v>24140.34</v>
      </c>
      <c r="CA183">
        <v>8303236124087</v>
      </c>
      <c r="CC183" t="s">
        <v>303</v>
      </c>
      <c r="CD183" s="5" t="s">
        <v>307</v>
      </c>
      <c r="CE183" t="s">
        <v>654</v>
      </c>
      <c r="CF183" s="3">
        <v>45994</v>
      </c>
      <c r="CI183">
        <v>1</v>
      </c>
      <c r="CJ183">
        <v>1</v>
      </c>
      <c r="CK183">
        <v>41</v>
      </c>
      <c r="CL183" t="s">
        <v>87</v>
      </c>
    </row>
    <row r="184" spans="1:90" x14ac:dyDescent="0.3">
      <c r="A184" t="s">
        <v>72</v>
      </c>
      <c r="B184" t="s">
        <v>73</v>
      </c>
      <c r="C184" t="s">
        <v>74</v>
      </c>
      <c r="E184" t="str">
        <f>"080069613761"</f>
        <v>080069613761</v>
      </c>
      <c r="F184" s="3">
        <v>45993</v>
      </c>
      <c r="G184">
        <v>202609</v>
      </c>
      <c r="H184" t="s">
        <v>75</v>
      </c>
      <c r="I184" t="s">
        <v>76</v>
      </c>
      <c r="J184" t="s">
        <v>77</v>
      </c>
      <c r="K184" t="s">
        <v>78</v>
      </c>
      <c r="L184" t="s">
        <v>374</v>
      </c>
      <c r="M184" t="s">
        <v>375</v>
      </c>
      <c r="N184" t="s">
        <v>376</v>
      </c>
      <c r="O184" t="s">
        <v>89</v>
      </c>
      <c r="P184" t="str">
        <f>"4170071417                    "</f>
        <v xml:space="preserve">4170071417                    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22.24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1</v>
      </c>
      <c r="BI184">
        <v>1</v>
      </c>
      <c r="BJ184">
        <v>0.2</v>
      </c>
      <c r="BK184">
        <v>1</v>
      </c>
      <c r="BL184">
        <v>72.78</v>
      </c>
      <c r="BM184">
        <v>10.92</v>
      </c>
      <c r="BN184">
        <v>83.7</v>
      </c>
      <c r="BO184">
        <v>83.7</v>
      </c>
      <c r="BQ184" t="s">
        <v>377</v>
      </c>
      <c r="BR184" t="s">
        <v>82</v>
      </c>
      <c r="BS184" s="3">
        <v>45994</v>
      </c>
      <c r="BT184" s="4">
        <v>0.53819444444444442</v>
      </c>
      <c r="BU184" t="s">
        <v>655</v>
      </c>
      <c r="BV184" t="s">
        <v>84</v>
      </c>
      <c r="BY184">
        <v>1200</v>
      </c>
      <c r="BZ184" t="s">
        <v>271</v>
      </c>
      <c r="CC184" t="s">
        <v>375</v>
      </c>
      <c r="CD184">
        <v>7600</v>
      </c>
      <c r="CE184" t="s">
        <v>127</v>
      </c>
      <c r="CF184" s="3">
        <v>45995</v>
      </c>
      <c r="CI184">
        <v>1</v>
      </c>
      <c r="CJ184">
        <v>1</v>
      </c>
      <c r="CK184">
        <v>21</v>
      </c>
      <c r="CL184" t="s">
        <v>87</v>
      </c>
    </row>
    <row r="185" spans="1:90" x14ac:dyDescent="0.3">
      <c r="A185" t="s">
        <v>72</v>
      </c>
      <c r="B185" t="s">
        <v>73</v>
      </c>
      <c r="C185" t="s">
        <v>74</v>
      </c>
      <c r="E185" t="str">
        <f>"080069613790"</f>
        <v>080069613790</v>
      </c>
      <c r="F185" s="3">
        <v>45993</v>
      </c>
      <c r="G185">
        <v>202609</v>
      </c>
      <c r="H185" t="s">
        <v>75</v>
      </c>
      <c r="I185" t="s">
        <v>76</v>
      </c>
      <c r="J185" t="s">
        <v>77</v>
      </c>
      <c r="K185" t="s">
        <v>78</v>
      </c>
      <c r="L185" t="s">
        <v>189</v>
      </c>
      <c r="M185" t="s">
        <v>190</v>
      </c>
      <c r="N185" t="s">
        <v>656</v>
      </c>
      <c r="O185" t="s">
        <v>89</v>
      </c>
      <c r="P185" t="str">
        <f>"4170071438                    "</f>
        <v xml:space="preserve">4170071438                    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61.14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17.41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1</v>
      </c>
      <c r="BI185">
        <v>3.1</v>
      </c>
      <c r="BJ185">
        <v>5.3</v>
      </c>
      <c r="BK185">
        <v>5.5</v>
      </c>
      <c r="BL185">
        <v>217.5</v>
      </c>
      <c r="BM185">
        <v>32.630000000000003</v>
      </c>
      <c r="BN185">
        <v>250.13</v>
      </c>
      <c r="BO185">
        <v>250.13</v>
      </c>
      <c r="BQ185" t="s">
        <v>657</v>
      </c>
      <c r="BR185" t="s">
        <v>82</v>
      </c>
      <c r="BS185" s="3">
        <v>45995</v>
      </c>
      <c r="BT185" s="4">
        <v>0.41666666666666669</v>
      </c>
      <c r="BU185" t="s">
        <v>359</v>
      </c>
      <c r="BV185" t="s">
        <v>87</v>
      </c>
      <c r="BY185">
        <v>26649</v>
      </c>
      <c r="BZ185" t="s">
        <v>30</v>
      </c>
      <c r="CA185" t="s">
        <v>311</v>
      </c>
      <c r="CC185" t="s">
        <v>190</v>
      </c>
      <c r="CD185">
        <v>3699</v>
      </c>
      <c r="CE185" t="s">
        <v>93</v>
      </c>
      <c r="CF185" s="3">
        <v>45996</v>
      </c>
      <c r="CI185">
        <v>1</v>
      </c>
      <c r="CJ185">
        <v>2</v>
      </c>
      <c r="CK185">
        <v>21</v>
      </c>
      <c r="CL185" t="s">
        <v>87</v>
      </c>
    </row>
    <row r="186" spans="1:90" x14ac:dyDescent="0.3">
      <c r="A186" t="s">
        <v>72</v>
      </c>
      <c r="B186" t="s">
        <v>73</v>
      </c>
      <c r="C186" t="s">
        <v>74</v>
      </c>
      <c r="E186" t="str">
        <f>"080069613831"</f>
        <v>080069613831</v>
      </c>
      <c r="F186" s="3">
        <v>45993</v>
      </c>
      <c r="G186">
        <v>202609</v>
      </c>
      <c r="H186" t="s">
        <v>75</v>
      </c>
      <c r="I186" t="s">
        <v>76</v>
      </c>
      <c r="J186" t="s">
        <v>77</v>
      </c>
      <c r="K186" t="s">
        <v>78</v>
      </c>
      <c r="L186" t="s">
        <v>374</v>
      </c>
      <c r="M186" t="s">
        <v>375</v>
      </c>
      <c r="N186" t="s">
        <v>658</v>
      </c>
      <c r="O186" t="s">
        <v>89</v>
      </c>
      <c r="P186" t="str">
        <f>"4170071423                    "</f>
        <v xml:space="preserve">4170071423                    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61.14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1</v>
      </c>
      <c r="BI186">
        <v>5</v>
      </c>
      <c r="BJ186">
        <v>5.2</v>
      </c>
      <c r="BK186">
        <v>5.5</v>
      </c>
      <c r="BL186">
        <v>200.09</v>
      </c>
      <c r="BM186">
        <v>30.01</v>
      </c>
      <c r="BN186">
        <v>230.1</v>
      </c>
      <c r="BO186">
        <v>230.1</v>
      </c>
      <c r="BQ186" t="s">
        <v>659</v>
      </c>
      <c r="BR186" t="s">
        <v>82</v>
      </c>
      <c r="BS186" s="3">
        <v>45994</v>
      </c>
      <c r="BT186" s="4">
        <v>0.51736111111111116</v>
      </c>
      <c r="BU186" t="s">
        <v>660</v>
      </c>
      <c r="BV186" t="s">
        <v>84</v>
      </c>
      <c r="BY186">
        <v>26112</v>
      </c>
      <c r="BZ186" t="s">
        <v>271</v>
      </c>
      <c r="CC186" t="s">
        <v>375</v>
      </c>
      <c r="CD186">
        <v>7600</v>
      </c>
      <c r="CE186" t="s">
        <v>93</v>
      </c>
      <c r="CF186" s="3">
        <v>45995</v>
      </c>
      <c r="CI186">
        <v>1</v>
      </c>
      <c r="CJ186">
        <v>1</v>
      </c>
      <c r="CK186">
        <v>21</v>
      </c>
      <c r="CL186" t="s">
        <v>87</v>
      </c>
    </row>
    <row r="187" spans="1:90" x14ac:dyDescent="0.3">
      <c r="A187" t="s">
        <v>72</v>
      </c>
      <c r="B187" t="s">
        <v>73</v>
      </c>
      <c r="C187" t="s">
        <v>74</v>
      </c>
      <c r="E187" t="str">
        <f>"080069613941"</f>
        <v>080069613941</v>
      </c>
      <c r="F187" s="3">
        <v>45993</v>
      </c>
      <c r="G187">
        <v>202609</v>
      </c>
      <c r="H187" t="s">
        <v>75</v>
      </c>
      <c r="I187" t="s">
        <v>76</v>
      </c>
      <c r="J187" t="s">
        <v>77</v>
      </c>
      <c r="K187" t="s">
        <v>78</v>
      </c>
      <c r="L187" t="s">
        <v>141</v>
      </c>
      <c r="M187" t="s">
        <v>142</v>
      </c>
      <c r="N187" t="s">
        <v>587</v>
      </c>
      <c r="O187" t="s">
        <v>89</v>
      </c>
      <c r="P187" t="str">
        <f>"4170071387                    "</f>
        <v xml:space="preserve">4170071387                    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55.58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1</v>
      </c>
      <c r="BI187">
        <v>5</v>
      </c>
      <c r="BJ187">
        <v>2.4</v>
      </c>
      <c r="BK187">
        <v>5</v>
      </c>
      <c r="BL187">
        <v>181.9</v>
      </c>
      <c r="BM187">
        <v>27.29</v>
      </c>
      <c r="BN187">
        <v>209.19</v>
      </c>
      <c r="BO187">
        <v>209.19</v>
      </c>
      <c r="BQ187" t="s">
        <v>588</v>
      </c>
      <c r="BR187" t="s">
        <v>82</v>
      </c>
      <c r="BS187" s="3">
        <v>45994</v>
      </c>
      <c r="BT187" s="4">
        <v>0.4201388888888889</v>
      </c>
      <c r="BU187" t="s">
        <v>611</v>
      </c>
      <c r="BV187" t="s">
        <v>84</v>
      </c>
      <c r="BY187">
        <v>12122</v>
      </c>
      <c r="CA187" t="s">
        <v>571</v>
      </c>
      <c r="CC187" t="s">
        <v>142</v>
      </c>
      <c r="CD187">
        <v>6001</v>
      </c>
      <c r="CE187" t="s">
        <v>86</v>
      </c>
      <c r="CF187" s="3">
        <v>45994</v>
      </c>
      <c r="CI187">
        <v>1</v>
      </c>
      <c r="CJ187">
        <v>1</v>
      </c>
      <c r="CK187">
        <v>21</v>
      </c>
      <c r="CL187" t="s">
        <v>87</v>
      </c>
    </row>
    <row r="188" spans="1:90" x14ac:dyDescent="0.3">
      <c r="A188" t="s">
        <v>72</v>
      </c>
      <c r="B188" t="s">
        <v>73</v>
      </c>
      <c r="C188" t="s">
        <v>74</v>
      </c>
      <c r="E188" t="str">
        <f>"080069613949"</f>
        <v>080069613949</v>
      </c>
      <c r="F188" s="3">
        <v>45993</v>
      </c>
      <c r="G188">
        <v>202609</v>
      </c>
      <c r="H188" t="s">
        <v>75</v>
      </c>
      <c r="I188" t="s">
        <v>76</v>
      </c>
      <c r="J188" t="s">
        <v>77</v>
      </c>
      <c r="K188" t="s">
        <v>78</v>
      </c>
      <c r="L188" t="s">
        <v>302</v>
      </c>
      <c r="M188" t="s">
        <v>303</v>
      </c>
      <c r="N188" t="s">
        <v>661</v>
      </c>
      <c r="O188" t="s">
        <v>89</v>
      </c>
      <c r="P188" t="str">
        <f>"4170071375                    "</f>
        <v xml:space="preserve">4170071375                    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33.35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1</v>
      </c>
      <c r="BI188">
        <v>3</v>
      </c>
      <c r="BJ188">
        <v>1.2</v>
      </c>
      <c r="BK188">
        <v>3</v>
      </c>
      <c r="BL188">
        <v>109.15</v>
      </c>
      <c r="BM188">
        <v>16.37</v>
      </c>
      <c r="BN188">
        <v>125.52</v>
      </c>
      <c r="BO188">
        <v>125.52</v>
      </c>
      <c r="BQ188" t="s">
        <v>662</v>
      </c>
      <c r="BR188" t="s">
        <v>82</v>
      </c>
      <c r="BS188" s="3">
        <v>45994</v>
      </c>
      <c r="BT188" s="4">
        <v>0.3840277777777778</v>
      </c>
      <c r="BU188" t="s">
        <v>663</v>
      </c>
      <c r="BV188" t="s">
        <v>84</v>
      </c>
      <c r="BY188">
        <v>6080</v>
      </c>
      <c r="CA188">
        <v>8303236124087</v>
      </c>
      <c r="CC188" t="s">
        <v>303</v>
      </c>
      <c r="CD188" s="5" t="s">
        <v>664</v>
      </c>
      <c r="CE188" t="s">
        <v>93</v>
      </c>
      <c r="CF188" s="3">
        <v>45994</v>
      </c>
      <c r="CI188">
        <v>1</v>
      </c>
      <c r="CJ188">
        <v>1</v>
      </c>
      <c r="CK188">
        <v>21</v>
      </c>
      <c r="CL188" t="s">
        <v>87</v>
      </c>
    </row>
    <row r="189" spans="1:90" x14ac:dyDescent="0.3">
      <c r="A189" t="s">
        <v>72</v>
      </c>
      <c r="B189" t="s">
        <v>73</v>
      </c>
      <c r="C189" t="s">
        <v>74</v>
      </c>
      <c r="E189" t="str">
        <f>"080069614006"</f>
        <v>080069614006</v>
      </c>
      <c r="F189" s="3">
        <v>45993</v>
      </c>
      <c r="G189">
        <v>202609</v>
      </c>
      <c r="H189" t="s">
        <v>75</v>
      </c>
      <c r="I189" t="s">
        <v>76</v>
      </c>
      <c r="J189" t="s">
        <v>77</v>
      </c>
      <c r="K189" t="s">
        <v>78</v>
      </c>
      <c r="L189" t="s">
        <v>156</v>
      </c>
      <c r="M189" t="s">
        <v>157</v>
      </c>
      <c r="N189" t="s">
        <v>665</v>
      </c>
      <c r="O189" t="s">
        <v>89</v>
      </c>
      <c r="P189" t="str">
        <f>"4170071379                    "</f>
        <v xml:space="preserve">4170071379                    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166.72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1</v>
      </c>
      <c r="BI189">
        <v>15</v>
      </c>
      <c r="BJ189">
        <v>7.2</v>
      </c>
      <c r="BK189">
        <v>15</v>
      </c>
      <c r="BL189">
        <v>545.64</v>
      </c>
      <c r="BM189">
        <v>81.849999999999994</v>
      </c>
      <c r="BN189">
        <v>627.49</v>
      </c>
      <c r="BO189">
        <v>627.49</v>
      </c>
      <c r="BQ189" t="s">
        <v>666</v>
      </c>
      <c r="BR189" t="s">
        <v>82</v>
      </c>
      <c r="BS189" s="3">
        <v>45994</v>
      </c>
      <c r="BT189" s="4">
        <v>0.62152777777777779</v>
      </c>
      <c r="BU189" t="s">
        <v>667</v>
      </c>
      <c r="BV189" t="s">
        <v>87</v>
      </c>
      <c r="BW189" t="s">
        <v>153</v>
      </c>
      <c r="BX189" t="s">
        <v>345</v>
      </c>
      <c r="BY189">
        <v>36000</v>
      </c>
      <c r="BZ189" t="s">
        <v>271</v>
      </c>
      <c r="CA189" t="s">
        <v>668</v>
      </c>
      <c r="CC189" t="s">
        <v>157</v>
      </c>
      <c r="CD189">
        <v>7550</v>
      </c>
      <c r="CE189" t="s">
        <v>669</v>
      </c>
      <c r="CF189" s="3">
        <v>46002</v>
      </c>
      <c r="CI189">
        <v>1</v>
      </c>
      <c r="CJ189">
        <v>1</v>
      </c>
      <c r="CK189">
        <v>21</v>
      </c>
      <c r="CL189" t="s">
        <v>87</v>
      </c>
    </row>
    <row r="190" spans="1:90" x14ac:dyDescent="0.3">
      <c r="A190" t="s">
        <v>72</v>
      </c>
      <c r="B190" t="s">
        <v>73</v>
      </c>
      <c r="C190" t="s">
        <v>74</v>
      </c>
      <c r="E190" t="str">
        <f>"080069614207"</f>
        <v>080069614207</v>
      </c>
      <c r="F190" s="3">
        <v>45993</v>
      </c>
      <c r="G190">
        <v>202609</v>
      </c>
      <c r="H190" t="s">
        <v>75</v>
      </c>
      <c r="I190" t="s">
        <v>76</v>
      </c>
      <c r="J190" t="s">
        <v>77</v>
      </c>
      <c r="K190" t="s">
        <v>78</v>
      </c>
      <c r="L190" t="s">
        <v>109</v>
      </c>
      <c r="M190" t="s">
        <v>110</v>
      </c>
      <c r="N190" t="s">
        <v>670</v>
      </c>
      <c r="O190" t="s">
        <v>89</v>
      </c>
      <c r="P190" t="str">
        <f>"4170071430                    "</f>
        <v xml:space="preserve">4170071430                    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31.28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1</v>
      </c>
      <c r="BI190">
        <v>1.3</v>
      </c>
      <c r="BJ190">
        <v>0.9</v>
      </c>
      <c r="BK190">
        <v>1.5</v>
      </c>
      <c r="BL190">
        <v>102.36</v>
      </c>
      <c r="BM190">
        <v>15.35</v>
      </c>
      <c r="BN190">
        <v>117.71</v>
      </c>
      <c r="BO190">
        <v>117.71</v>
      </c>
      <c r="BQ190" t="s">
        <v>671</v>
      </c>
      <c r="BR190" t="s">
        <v>82</v>
      </c>
      <c r="BS190" s="3">
        <v>45994</v>
      </c>
      <c r="BT190" s="4">
        <v>0.45069444444444445</v>
      </c>
      <c r="BU190" t="s">
        <v>672</v>
      </c>
      <c r="BV190" t="s">
        <v>84</v>
      </c>
      <c r="BY190">
        <v>4514.97</v>
      </c>
      <c r="CA190" t="s">
        <v>673</v>
      </c>
      <c r="CC190" t="s">
        <v>110</v>
      </c>
      <c r="CD190">
        <v>1739</v>
      </c>
      <c r="CE190" t="s">
        <v>86</v>
      </c>
      <c r="CF190" s="3">
        <v>45995</v>
      </c>
      <c r="CI190">
        <v>1</v>
      </c>
      <c r="CJ190">
        <v>1</v>
      </c>
      <c r="CK190">
        <v>24</v>
      </c>
      <c r="CL190" t="s">
        <v>87</v>
      </c>
    </row>
    <row r="191" spans="1:90" x14ac:dyDescent="0.3">
      <c r="A191" t="s">
        <v>72</v>
      </c>
      <c r="B191" t="s">
        <v>73</v>
      </c>
      <c r="C191" t="s">
        <v>74</v>
      </c>
      <c r="E191" t="str">
        <f>"080069614248"</f>
        <v>080069614248</v>
      </c>
      <c r="F191" s="3">
        <v>45993</v>
      </c>
      <c r="G191">
        <v>202609</v>
      </c>
      <c r="H191" t="s">
        <v>75</v>
      </c>
      <c r="I191" t="s">
        <v>76</v>
      </c>
      <c r="J191" t="s">
        <v>77</v>
      </c>
      <c r="K191" t="s">
        <v>78</v>
      </c>
      <c r="L191" t="s">
        <v>645</v>
      </c>
      <c r="M191" t="s">
        <v>646</v>
      </c>
      <c r="N191" t="s">
        <v>647</v>
      </c>
      <c r="O191" t="s">
        <v>89</v>
      </c>
      <c r="P191" t="str">
        <f>"4170071386                    "</f>
        <v xml:space="preserve">4170071386                    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43.09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17.41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1</v>
      </c>
      <c r="BI191">
        <v>1</v>
      </c>
      <c r="BJ191">
        <v>0.2</v>
      </c>
      <c r="BK191">
        <v>1</v>
      </c>
      <c r="BL191">
        <v>158.43</v>
      </c>
      <c r="BM191">
        <v>23.76</v>
      </c>
      <c r="BN191">
        <v>182.19</v>
      </c>
      <c r="BO191">
        <v>182.19</v>
      </c>
      <c r="BQ191" t="s">
        <v>648</v>
      </c>
      <c r="BR191" t="s">
        <v>82</v>
      </c>
      <c r="BS191" s="3">
        <v>45994</v>
      </c>
      <c r="BT191" s="4">
        <v>0.44305555555555554</v>
      </c>
      <c r="BU191" t="s">
        <v>674</v>
      </c>
      <c r="BV191" t="s">
        <v>84</v>
      </c>
      <c r="BY191">
        <v>1200</v>
      </c>
      <c r="BZ191" t="s">
        <v>30</v>
      </c>
      <c r="CA191" t="s">
        <v>650</v>
      </c>
      <c r="CC191" t="s">
        <v>646</v>
      </c>
      <c r="CD191">
        <v>3875</v>
      </c>
      <c r="CE191" t="s">
        <v>134</v>
      </c>
      <c r="CF191" s="3">
        <v>45994</v>
      </c>
      <c r="CI191">
        <v>2</v>
      </c>
      <c r="CJ191">
        <v>1</v>
      </c>
      <c r="CK191">
        <v>23</v>
      </c>
      <c r="CL191" t="s">
        <v>87</v>
      </c>
    </row>
    <row r="192" spans="1:90" x14ac:dyDescent="0.3">
      <c r="A192" t="s">
        <v>72</v>
      </c>
      <c r="B192" t="s">
        <v>73</v>
      </c>
      <c r="C192" t="s">
        <v>74</v>
      </c>
      <c r="E192" t="str">
        <f>"080069614267"</f>
        <v>080069614267</v>
      </c>
      <c r="F192" s="3">
        <v>45993</v>
      </c>
      <c r="G192">
        <v>202609</v>
      </c>
      <c r="H192" t="s">
        <v>75</v>
      </c>
      <c r="I192" t="s">
        <v>76</v>
      </c>
      <c r="J192" t="s">
        <v>77</v>
      </c>
      <c r="K192" t="s">
        <v>78</v>
      </c>
      <c r="L192" t="s">
        <v>141</v>
      </c>
      <c r="M192" t="s">
        <v>142</v>
      </c>
      <c r="N192" t="s">
        <v>675</v>
      </c>
      <c r="O192" t="s">
        <v>89</v>
      </c>
      <c r="P192" t="str">
        <f>"4170071455                    "</f>
        <v xml:space="preserve">4170071455                    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22.24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1</v>
      </c>
      <c r="BI192">
        <v>1</v>
      </c>
      <c r="BJ192">
        <v>0.2</v>
      </c>
      <c r="BK192">
        <v>1</v>
      </c>
      <c r="BL192">
        <v>72.78</v>
      </c>
      <c r="BM192">
        <v>10.92</v>
      </c>
      <c r="BN192">
        <v>83.7</v>
      </c>
      <c r="BO192">
        <v>83.7</v>
      </c>
      <c r="BQ192" t="s">
        <v>676</v>
      </c>
      <c r="BR192" t="s">
        <v>82</v>
      </c>
      <c r="BS192" s="3">
        <v>45994</v>
      </c>
      <c r="BT192" s="4">
        <v>0.40347222222222223</v>
      </c>
      <c r="BU192" t="s">
        <v>677</v>
      </c>
      <c r="BV192" t="s">
        <v>84</v>
      </c>
      <c r="BY192">
        <v>1200</v>
      </c>
      <c r="CA192" t="s">
        <v>327</v>
      </c>
      <c r="CC192" t="s">
        <v>142</v>
      </c>
      <c r="CD192">
        <v>6001</v>
      </c>
      <c r="CE192" t="s">
        <v>134</v>
      </c>
      <c r="CF192" s="3">
        <v>45994</v>
      </c>
      <c r="CI192">
        <v>1</v>
      </c>
      <c r="CJ192">
        <v>1</v>
      </c>
      <c r="CK192">
        <v>21</v>
      </c>
      <c r="CL192" t="s">
        <v>87</v>
      </c>
    </row>
    <row r="193" spans="1:90" x14ac:dyDescent="0.3">
      <c r="A193" t="s">
        <v>72</v>
      </c>
      <c r="B193" t="s">
        <v>73</v>
      </c>
      <c r="C193" t="s">
        <v>74</v>
      </c>
      <c r="E193" t="str">
        <f>"080069614289"</f>
        <v>080069614289</v>
      </c>
      <c r="F193" s="3">
        <v>45993</v>
      </c>
      <c r="G193">
        <v>202609</v>
      </c>
      <c r="H193" t="s">
        <v>75</v>
      </c>
      <c r="I193" t="s">
        <v>76</v>
      </c>
      <c r="J193" t="s">
        <v>77</v>
      </c>
      <c r="K193" t="s">
        <v>78</v>
      </c>
      <c r="L193" t="s">
        <v>302</v>
      </c>
      <c r="M193" t="s">
        <v>303</v>
      </c>
      <c r="N193" t="s">
        <v>590</v>
      </c>
      <c r="O193" t="s">
        <v>89</v>
      </c>
      <c r="P193" t="str">
        <f>"4170071428                    "</f>
        <v xml:space="preserve">4170071428                    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22.24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1</v>
      </c>
      <c r="BI193">
        <v>1</v>
      </c>
      <c r="BJ193">
        <v>0.2</v>
      </c>
      <c r="BK193">
        <v>1</v>
      </c>
      <c r="BL193">
        <v>72.78</v>
      </c>
      <c r="BM193">
        <v>10.92</v>
      </c>
      <c r="BN193">
        <v>83.7</v>
      </c>
      <c r="BO193">
        <v>83.7</v>
      </c>
      <c r="BQ193" t="s">
        <v>591</v>
      </c>
      <c r="BR193" t="s">
        <v>82</v>
      </c>
      <c r="BS193" s="3">
        <v>45999</v>
      </c>
      <c r="BT193" s="4">
        <v>0.4236111111111111</v>
      </c>
      <c r="BU193" t="s">
        <v>592</v>
      </c>
      <c r="BV193" t="s">
        <v>87</v>
      </c>
      <c r="BW193" t="s">
        <v>174</v>
      </c>
      <c r="BX193" t="s">
        <v>593</v>
      </c>
      <c r="BY193">
        <v>1200</v>
      </c>
      <c r="CA193" t="s">
        <v>432</v>
      </c>
      <c r="CC193" t="s">
        <v>303</v>
      </c>
      <c r="CD193" s="5" t="s">
        <v>433</v>
      </c>
      <c r="CE193" t="s">
        <v>134</v>
      </c>
      <c r="CF193" s="3">
        <v>45999</v>
      </c>
      <c r="CI193">
        <v>1</v>
      </c>
      <c r="CJ193">
        <v>4</v>
      </c>
      <c r="CK193">
        <v>21</v>
      </c>
      <c r="CL193" t="s">
        <v>87</v>
      </c>
    </row>
    <row r="194" spans="1:90" x14ac:dyDescent="0.3">
      <c r="A194" t="s">
        <v>72</v>
      </c>
      <c r="B194" t="s">
        <v>73</v>
      </c>
      <c r="C194" t="s">
        <v>74</v>
      </c>
      <c r="E194" t="str">
        <f>"080069615220"</f>
        <v>080069615220</v>
      </c>
      <c r="F194" s="3">
        <v>45993</v>
      </c>
      <c r="G194">
        <v>202609</v>
      </c>
      <c r="H194" t="s">
        <v>75</v>
      </c>
      <c r="I194" t="s">
        <v>76</v>
      </c>
      <c r="J194" t="s">
        <v>77</v>
      </c>
      <c r="K194" t="s">
        <v>78</v>
      </c>
      <c r="L194" t="s">
        <v>502</v>
      </c>
      <c r="M194" t="s">
        <v>503</v>
      </c>
      <c r="N194" t="s">
        <v>678</v>
      </c>
      <c r="O194" t="s">
        <v>80</v>
      </c>
      <c r="P194" t="str">
        <f>"4170071486                    "</f>
        <v xml:space="preserve">4170071486                    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37.06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1</v>
      </c>
      <c r="BI194">
        <v>15</v>
      </c>
      <c r="BJ194">
        <v>18.7</v>
      </c>
      <c r="BK194">
        <v>19</v>
      </c>
      <c r="BL194">
        <v>127.38</v>
      </c>
      <c r="BM194">
        <v>19.11</v>
      </c>
      <c r="BN194">
        <v>146.49</v>
      </c>
      <c r="BO194">
        <v>146.49</v>
      </c>
      <c r="BQ194" t="s">
        <v>679</v>
      </c>
      <c r="BR194" t="s">
        <v>82</v>
      </c>
      <c r="BS194" s="3">
        <v>45995</v>
      </c>
      <c r="BT194" s="4">
        <v>0.59027777777777779</v>
      </c>
      <c r="BU194" t="s">
        <v>680</v>
      </c>
      <c r="BV194" t="s">
        <v>87</v>
      </c>
      <c r="BW194" t="s">
        <v>174</v>
      </c>
      <c r="BX194" t="s">
        <v>198</v>
      </c>
      <c r="BY194">
        <v>93440</v>
      </c>
      <c r="CA194" t="s">
        <v>681</v>
      </c>
      <c r="CC194" t="s">
        <v>503</v>
      </c>
      <c r="CD194">
        <v>1559</v>
      </c>
      <c r="CE194" t="s">
        <v>546</v>
      </c>
      <c r="CF194" s="3">
        <v>45996</v>
      </c>
      <c r="CI194">
        <v>1</v>
      </c>
      <c r="CJ194">
        <v>2</v>
      </c>
      <c r="CK194">
        <v>42</v>
      </c>
      <c r="CL194" t="s">
        <v>87</v>
      </c>
    </row>
    <row r="195" spans="1:90" x14ac:dyDescent="0.3">
      <c r="A195" t="s">
        <v>72</v>
      </c>
      <c r="B195" t="s">
        <v>73</v>
      </c>
      <c r="C195" t="s">
        <v>74</v>
      </c>
      <c r="E195" t="str">
        <f>"080069615481"</f>
        <v>080069615481</v>
      </c>
      <c r="F195" s="3">
        <v>45993</v>
      </c>
      <c r="G195">
        <v>202609</v>
      </c>
      <c r="H195" t="s">
        <v>75</v>
      </c>
      <c r="I195" t="s">
        <v>76</v>
      </c>
      <c r="J195" t="s">
        <v>77</v>
      </c>
      <c r="K195" t="s">
        <v>78</v>
      </c>
      <c r="L195" t="s">
        <v>202</v>
      </c>
      <c r="M195" t="s">
        <v>203</v>
      </c>
      <c r="N195" t="s">
        <v>204</v>
      </c>
      <c r="O195" t="s">
        <v>89</v>
      </c>
      <c r="P195" t="str">
        <f>"4170071469                    "</f>
        <v xml:space="preserve">4170071469                    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43.09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1</v>
      </c>
      <c r="BI195">
        <v>1</v>
      </c>
      <c r="BJ195">
        <v>0.2</v>
      </c>
      <c r="BK195">
        <v>1</v>
      </c>
      <c r="BL195">
        <v>141.02000000000001</v>
      </c>
      <c r="BM195">
        <v>21.15</v>
      </c>
      <c r="BN195">
        <v>162.16999999999999</v>
      </c>
      <c r="BO195">
        <v>162.16999999999999</v>
      </c>
      <c r="BQ195" t="s">
        <v>205</v>
      </c>
      <c r="BR195" t="s">
        <v>82</v>
      </c>
      <c r="BS195" s="3">
        <v>45994</v>
      </c>
      <c r="BT195" s="4">
        <v>0.5083333333333333</v>
      </c>
      <c r="BU195" t="s">
        <v>682</v>
      </c>
      <c r="BV195" t="s">
        <v>84</v>
      </c>
      <c r="BY195">
        <v>1200</v>
      </c>
      <c r="CA195" t="s">
        <v>683</v>
      </c>
      <c r="CC195" t="s">
        <v>203</v>
      </c>
      <c r="CD195">
        <v>2531</v>
      </c>
      <c r="CE195" t="s">
        <v>134</v>
      </c>
      <c r="CF195" s="3">
        <v>45995</v>
      </c>
      <c r="CI195">
        <v>1</v>
      </c>
      <c r="CJ195">
        <v>1</v>
      </c>
      <c r="CK195">
        <v>23</v>
      </c>
      <c r="CL195" t="s">
        <v>87</v>
      </c>
    </row>
    <row r="196" spans="1:90" x14ac:dyDescent="0.3">
      <c r="A196" t="s">
        <v>72</v>
      </c>
      <c r="B196" t="s">
        <v>73</v>
      </c>
      <c r="C196" t="s">
        <v>74</v>
      </c>
      <c r="E196" t="str">
        <f>"080069615530"</f>
        <v>080069615530</v>
      </c>
      <c r="F196" s="3">
        <v>45993</v>
      </c>
      <c r="G196">
        <v>202609</v>
      </c>
      <c r="H196" t="s">
        <v>75</v>
      </c>
      <c r="I196" t="s">
        <v>76</v>
      </c>
      <c r="J196" t="s">
        <v>77</v>
      </c>
      <c r="K196" t="s">
        <v>78</v>
      </c>
      <c r="L196" t="s">
        <v>176</v>
      </c>
      <c r="M196" t="s">
        <v>177</v>
      </c>
      <c r="N196" t="s">
        <v>684</v>
      </c>
      <c r="O196" t="s">
        <v>89</v>
      </c>
      <c r="P196" t="str">
        <f>"4170071431                    "</f>
        <v xml:space="preserve">4170071431                    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23.61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17.41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1</v>
      </c>
      <c r="BI196">
        <v>10.4</v>
      </c>
      <c r="BJ196">
        <v>3.3</v>
      </c>
      <c r="BK196">
        <v>11</v>
      </c>
      <c r="BL196">
        <v>94.69</v>
      </c>
      <c r="BM196">
        <v>14.2</v>
      </c>
      <c r="BN196">
        <v>108.89</v>
      </c>
      <c r="BO196">
        <v>108.89</v>
      </c>
      <c r="BQ196" t="s">
        <v>685</v>
      </c>
      <c r="BR196" t="s">
        <v>82</v>
      </c>
      <c r="BS196" s="3">
        <v>45994</v>
      </c>
      <c r="BT196" s="4">
        <v>0.43402777777777779</v>
      </c>
      <c r="BU196" t="s">
        <v>686</v>
      </c>
      <c r="BV196" t="s">
        <v>84</v>
      </c>
      <c r="BY196">
        <v>16365.44</v>
      </c>
      <c r="BZ196" t="s">
        <v>30</v>
      </c>
      <c r="CA196" t="s">
        <v>687</v>
      </c>
      <c r="CC196" t="s">
        <v>177</v>
      </c>
      <c r="CD196">
        <v>2188</v>
      </c>
      <c r="CE196" t="s">
        <v>86</v>
      </c>
      <c r="CF196" s="3">
        <v>45994</v>
      </c>
      <c r="CI196">
        <v>1</v>
      </c>
      <c r="CJ196">
        <v>1</v>
      </c>
      <c r="CK196">
        <v>22</v>
      </c>
      <c r="CL196" t="s">
        <v>87</v>
      </c>
    </row>
    <row r="197" spans="1:90" x14ac:dyDescent="0.3">
      <c r="A197" t="s">
        <v>72</v>
      </c>
      <c r="B197" t="s">
        <v>73</v>
      </c>
      <c r="C197" t="s">
        <v>74</v>
      </c>
      <c r="E197" t="str">
        <f>"080069615534"</f>
        <v>080069615534</v>
      </c>
      <c r="F197" s="3">
        <v>45993</v>
      </c>
      <c r="G197">
        <v>202609</v>
      </c>
      <c r="H197" t="s">
        <v>75</v>
      </c>
      <c r="I197" t="s">
        <v>76</v>
      </c>
      <c r="J197" t="s">
        <v>77</v>
      </c>
      <c r="K197" t="s">
        <v>78</v>
      </c>
      <c r="L197" t="s">
        <v>141</v>
      </c>
      <c r="M197" t="s">
        <v>142</v>
      </c>
      <c r="N197" t="s">
        <v>688</v>
      </c>
      <c r="O197" t="s">
        <v>89</v>
      </c>
      <c r="P197" t="str">
        <f>"4170071411                    "</f>
        <v xml:space="preserve">4170071411                    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22.24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1</v>
      </c>
      <c r="BI197">
        <v>1</v>
      </c>
      <c r="BJ197">
        <v>0.2</v>
      </c>
      <c r="BK197">
        <v>1</v>
      </c>
      <c r="BL197">
        <v>72.78</v>
      </c>
      <c r="BM197">
        <v>10.92</v>
      </c>
      <c r="BN197">
        <v>83.7</v>
      </c>
      <c r="BO197">
        <v>83.7</v>
      </c>
      <c r="BQ197" t="s">
        <v>689</v>
      </c>
      <c r="BR197" t="s">
        <v>82</v>
      </c>
      <c r="BS197" s="3">
        <v>45994</v>
      </c>
      <c r="BT197" s="4">
        <v>0.4548611111111111</v>
      </c>
      <c r="BU197" t="s">
        <v>610</v>
      </c>
      <c r="BV197" t="s">
        <v>87</v>
      </c>
      <c r="BW197" t="s">
        <v>246</v>
      </c>
      <c r="BX197" t="s">
        <v>690</v>
      </c>
      <c r="BY197">
        <v>1200</v>
      </c>
      <c r="CA197" t="s">
        <v>327</v>
      </c>
      <c r="CC197" t="s">
        <v>142</v>
      </c>
      <c r="CD197">
        <v>6000</v>
      </c>
      <c r="CE197" t="s">
        <v>134</v>
      </c>
      <c r="CF197" s="3">
        <v>45994</v>
      </c>
      <c r="CI197">
        <v>1</v>
      </c>
      <c r="CJ197">
        <v>1</v>
      </c>
      <c r="CK197">
        <v>21</v>
      </c>
      <c r="CL197" t="s">
        <v>87</v>
      </c>
    </row>
    <row r="198" spans="1:90" x14ac:dyDescent="0.3">
      <c r="A198" t="s">
        <v>72</v>
      </c>
      <c r="B198" t="s">
        <v>73</v>
      </c>
      <c r="C198" t="s">
        <v>74</v>
      </c>
      <c r="E198" t="str">
        <f>"080069615570"</f>
        <v>080069615570</v>
      </c>
      <c r="F198" s="3">
        <v>45993</v>
      </c>
      <c r="G198">
        <v>202609</v>
      </c>
      <c r="H198" t="s">
        <v>75</v>
      </c>
      <c r="I198" t="s">
        <v>76</v>
      </c>
      <c r="J198" t="s">
        <v>77</v>
      </c>
      <c r="K198" t="s">
        <v>78</v>
      </c>
      <c r="L198" t="s">
        <v>141</v>
      </c>
      <c r="M198" t="s">
        <v>142</v>
      </c>
      <c r="N198" t="s">
        <v>324</v>
      </c>
      <c r="O198" t="s">
        <v>89</v>
      </c>
      <c r="P198" t="str">
        <f>"4170071447                    "</f>
        <v xml:space="preserve">4170071447                    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22.24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1</v>
      </c>
      <c r="BI198">
        <v>2</v>
      </c>
      <c r="BJ198">
        <v>1.5</v>
      </c>
      <c r="BK198">
        <v>2</v>
      </c>
      <c r="BL198">
        <v>72.78</v>
      </c>
      <c r="BM198">
        <v>10.92</v>
      </c>
      <c r="BN198">
        <v>83.7</v>
      </c>
      <c r="BO198">
        <v>83.7</v>
      </c>
      <c r="BQ198" t="s">
        <v>325</v>
      </c>
      <c r="BR198" t="s">
        <v>82</v>
      </c>
      <c r="BS198" s="3">
        <v>45994</v>
      </c>
      <c r="BT198" s="4">
        <v>0.41041666666666665</v>
      </c>
      <c r="BU198" t="s">
        <v>691</v>
      </c>
      <c r="BV198" t="s">
        <v>84</v>
      </c>
      <c r="BY198">
        <v>7561.71</v>
      </c>
      <c r="CA198" t="s">
        <v>146</v>
      </c>
      <c r="CC198" t="s">
        <v>142</v>
      </c>
      <c r="CD198">
        <v>6001</v>
      </c>
      <c r="CE198" t="s">
        <v>86</v>
      </c>
      <c r="CF198" s="3">
        <v>45994</v>
      </c>
      <c r="CI198">
        <v>1</v>
      </c>
      <c r="CJ198">
        <v>1</v>
      </c>
      <c r="CK198">
        <v>21</v>
      </c>
      <c r="CL198" t="s">
        <v>87</v>
      </c>
    </row>
    <row r="199" spans="1:90" x14ac:dyDescent="0.3">
      <c r="A199" t="s">
        <v>72</v>
      </c>
      <c r="B199" t="s">
        <v>73</v>
      </c>
      <c r="C199" t="s">
        <v>74</v>
      </c>
      <c r="E199" t="str">
        <f>"080069615572"</f>
        <v>080069615572</v>
      </c>
      <c r="F199" s="3">
        <v>45993</v>
      </c>
      <c r="G199">
        <v>202609</v>
      </c>
      <c r="H199" t="s">
        <v>75</v>
      </c>
      <c r="I199" t="s">
        <v>76</v>
      </c>
      <c r="J199" t="s">
        <v>77</v>
      </c>
      <c r="K199" t="s">
        <v>78</v>
      </c>
      <c r="L199" t="s">
        <v>692</v>
      </c>
      <c r="M199" t="s">
        <v>693</v>
      </c>
      <c r="N199" t="s">
        <v>694</v>
      </c>
      <c r="O199" t="s">
        <v>340</v>
      </c>
      <c r="P199" t="str">
        <f>"4170071445                    "</f>
        <v xml:space="preserve">4170071445                    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87.59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1</v>
      </c>
      <c r="BI199">
        <v>5</v>
      </c>
      <c r="BJ199">
        <v>1.4</v>
      </c>
      <c r="BK199">
        <v>5</v>
      </c>
      <c r="BL199">
        <v>286.64999999999998</v>
      </c>
      <c r="BM199">
        <v>43</v>
      </c>
      <c r="BN199">
        <v>329.65</v>
      </c>
      <c r="BO199">
        <v>329.65</v>
      </c>
      <c r="BQ199" t="s">
        <v>695</v>
      </c>
      <c r="BR199" t="s">
        <v>82</v>
      </c>
      <c r="BS199" s="3">
        <v>45994</v>
      </c>
      <c r="BT199" s="4">
        <v>0.38611111111111113</v>
      </c>
      <c r="BU199" t="s">
        <v>696</v>
      </c>
      <c r="BV199" t="s">
        <v>84</v>
      </c>
      <c r="BY199">
        <v>7000</v>
      </c>
      <c r="CA199" t="s">
        <v>697</v>
      </c>
      <c r="CC199" t="s">
        <v>693</v>
      </c>
      <c r="CD199">
        <v>1759</v>
      </c>
      <c r="CE199" t="s">
        <v>86</v>
      </c>
      <c r="CF199" s="3">
        <v>45995</v>
      </c>
      <c r="CI199">
        <v>1</v>
      </c>
      <c r="CJ199">
        <v>1</v>
      </c>
      <c r="CK199">
        <v>34</v>
      </c>
      <c r="CL199" t="s">
        <v>87</v>
      </c>
    </row>
    <row r="200" spans="1:90" x14ac:dyDescent="0.3">
      <c r="A200" t="s">
        <v>72</v>
      </c>
      <c r="B200" t="s">
        <v>73</v>
      </c>
      <c r="C200" t="s">
        <v>74</v>
      </c>
      <c r="E200" t="str">
        <f>"080069615622"</f>
        <v>080069615622</v>
      </c>
      <c r="F200" s="3">
        <v>45993</v>
      </c>
      <c r="G200">
        <v>202609</v>
      </c>
      <c r="H200" t="s">
        <v>75</v>
      </c>
      <c r="I200" t="s">
        <v>76</v>
      </c>
      <c r="J200" t="s">
        <v>77</v>
      </c>
      <c r="K200" t="s">
        <v>78</v>
      </c>
      <c r="L200" t="s">
        <v>698</v>
      </c>
      <c r="M200" t="s">
        <v>698</v>
      </c>
      <c r="N200" t="s">
        <v>543</v>
      </c>
      <c r="O200" t="s">
        <v>89</v>
      </c>
      <c r="P200" t="str">
        <f>"4170071420                    "</f>
        <v xml:space="preserve">4170071420                    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31.28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1</v>
      </c>
      <c r="BI200">
        <v>1</v>
      </c>
      <c r="BJ200">
        <v>1.1000000000000001</v>
      </c>
      <c r="BK200">
        <v>1.5</v>
      </c>
      <c r="BL200">
        <v>102.36</v>
      </c>
      <c r="BM200">
        <v>15.35</v>
      </c>
      <c r="BN200">
        <v>117.71</v>
      </c>
      <c r="BO200">
        <v>117.71</v>
      </c>
      <c r="BQ200" t="s">
        <v>544</v>
      </c>
      <c r="BR200" t="s">
        <v>82</v>
      </c>
      <c r="BS200" s="3">
        <v>45995</v>
      </c>
      <c r="BT200" s="4">
        <v>0.68055555555555558</v>
      </c>
      <c r="BU200" t="s">
        <v>699</v>
      </c>
      <c r="BV200" t="s">
        <v>87</v>
      </c>
      <c r="BW200" t="s">
        <v>186</v>
      </c>
      <c r="BX200" t="s">
        <v>700</v>
      </c>
      <c r="BY200">
        <v>5510</v>
      </c>
      <c r="CA200" t="s">
        <v>701</v>
      </c>
      <c r="CC200" t="s">
        <v>698</v>
      </c>
      <c r="CD200">
        <v>1491</v>
      </c>
      <c r="CE200" t="s">
        <v>86</v>
      </c>
      <c r="CF200" s="3">
        <v>45995</v>
      </c>
      <c r="CI200">
        <v>1</v>
      </c>
      <c r="CJ200">
        <v>2</v>
      </c>
      <c r="CK200">
        <v>24</v>
      </c>
      <c r="CL200" t="s">
        <v>87</v>
      </c>
    </row>
    <row r="201" spans="1:90" x14ac:dyDescent="0.3">
      <c r="A201" t="s">
        <v>72</v>
      </c>
      <c r="B201" t="s">
        <v>73</v>
      </c>
      <c r="C201" t="s">
        <v>74</v>
      </c>
      <c r="E201" t="str">
        <f>"080069615645"</f>
        <v>080069615645</v>
      </c>
      <c r="F201" s="3">
        <v>45993</v>
      </c>
      <c r="G201">
        <v>202609</v>
      </c>
      <c r="H201" t="s">
        <v>75</v>
      </c>
      <c r="I201" t="s">
        <v>76</v>
      </c>
      <c r="J201" t="s">
        <v>77</v>
      </c>
      <c r="K201" t="s">
        <v>78</v>
      </c>
      <c r="L201" t="s">
        <v>535</v>
      </c>
      <c r="M201" t="s">
        <v>535</v>
      </c>
      <c r="N201" t="s">
        <v>702</v>
      </c>
      <c r="O201" t="s">
        <v>89</v>
      </c>
      <c r="P201" t="str">
        <f>"4170071407                    "</f>
        <v xml:space="preserve">4170071407                    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140.37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3</v>
      </c>
      <c r="BI201">
        <v>7</v>
      </c>
      <c r="BJ201">
        <v>5.7</v>
      </c>
      <c r="BK201">
        <v>7</v>
      </c>
      <c r="BL201">
        <v>459.4</v>
      </c>
      <c r="BM201">
        <v>68.91</v>
      </c>
      <c r="BN201">
        <v>528.30999999999995</v>
      </c>
      <c r="BO201">
        <v>528.30999999999995</v>
      </c>
      <c r="BQ201" t="s">
        <v>703</v>
      </c>
      <c r="BR201" t="s">
        <v>82</v>
      </c>
      <c r="BS201" s="3">
        <v>45994</v>
      </c>
      <c r="BT201" s="4">
        <v>0.60416666666666663</v>
      </c>
      <c r="BU201" t="s">
        <v>704</v>
      </c>
      <c r="BV201" t="s">
        <v>87</v>
      </c>
      <c r="BW201" t="s">
        <v>153</v>
      </c>
      <c r="BX201" t="s">
        <v>345</v>
      </c>
      <c r="BY201">
        <v>19152</v>
      </c>
      <c r="CA201" t="s">
        <v>539</v>
      </c>
      <c r="CC201" t="s">
        <v>535</v>
      </c>
      <c r="CD201">
        <v>7645</v>
      </c>
      <c r="CE201" t="s">
        <v>86</v>
      </c>
      <c r="CF201" s="3">
        <v>45995</v>
      </c>
      <c r="CI201">
        <v>1</v>
      </c>
      <c r="CJ201">
        <v>1</v>
      </c>
      <c r="CK201">
        <v>23</v>
      </c>
      <c r="CL201" t="s">
        <v>87</v>
      </c>
    </row>
    <row r="202" spans="1:90" x14ac:dyDescent="0.3">
      <c r="A202" t="s">
        <v>72</v>
      </c>
      <c r="B202" t="s">
        <v>73</v>
      </c>
      <c r="C202" t="s">
        <v>74</v>
      </c>
      <c r="E202" t="str">
        <f>"080069615660"</f>
        <v>080069615660</v>
      </c>
      <c r="F202" s="3">
        <v>45993</v>
      </c>
      <c r="G202">
        <v>202609</v>
      </c>
      <c r="H202" t="s">
        <v>75</v>
      </c>
      <c r="I202" t="s">
        <v>76</v>
      </c>
      <c r="J202" t="s">
        <v>77</v>
      </c>
      <c r="K202" t="s">
        <v>78</v>
      </c>
      <c r="L202" t="s">
        <v>156</v>
      </c>
      <c r="M202" t="s">
        <v>157</v>
      </c>
      <c r="N202" t="s">
        <v>705</v>
      </c>
      <c r="O202" t="s">
        <v>89</v>
      </c>
      <c r="P202" t="str">
        <f>"4170071473                    "</f>
        <v xml:space="preserve">4170071473                    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22.24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1</v>
      </c>
      <c r="BI202">
        <v>1</v>
      </c>
      <c r="BJ202">
        <v>0.9</v>
      </c>
      <c r="BK202">
        <v>1</v>
      </c>
      <c r="BL202">
        <v>72.78</v>
      </c>
      <c r="BM202">
        <v>10.92</v>
      </c>
      <c r="BN202">
        <v>83.7</v>
      </c>
      <c r="BO202">
        <v>83.7</v>
      </c>
      <c r="BQ202" t="s">
        <v>706</v>
      </c>
      <c r="BR202" t="s">
        <v>82</v>
      </c>
      <c r="BS202" s="3">
        <v>45994</v>
      </c>
      <c r="BT202" s="4">
        <v>0.3923611111111111</v>
      </c>
      <c r="BU202" t="s">
        <v>707</v>
      </c>
      <c r="BV202" t="s">
        <v>84</v>
      </c>
      <c r="BY202">
        <v>4275</v>
      </c>
      <c r="CA202" t="s">
        <v>264</v>
      </c>
      <c r="CC202" t="s">
        <v>157</v>
      </c>
      <c r="CD202">
        <v>7441</v>
      </c>
      <c r="CE202" t="s">
        <v>86</v>
      </c>
      <c r="CF202" s="3">
        <v>45995</v>
      </c>
      <c r="CI202">
        <v>1</v>
      </c>
      <c r="CJ202">
        <v>1</v>
      </c>
      <c r="CK202">
        <v>21</v>
      </c>
      <c r="CL202" t="s">
        <v>87</v>
      </c>
    </row>
    <row r="203" spans="1:90" x14ac:dyDescent="0.3">
      <c r="A203" t="s">
        <v>72</v>
      </c>
      <c r="B203" t="s">
        <v>73</v>
      </c>
      <c r="C203" t="s">
        <v>74</v>
      </c>
      <c r="E203" t="str">
        <f>"080069615701"</f>
        <v>080069615701</v>
      </c>
      <c r="F203" s="3">
        <v>45993</v>
      </c>
      <c r="G203">
        <v>202609</v>
      </c>
      <c r="H203" t="s">
        <v>75</v>
      </c>
      <c r="I203" t="s">
        <v>76</v>
      </c>
      <c r="J203" t="s">
        <v>77</v>
      </c>
      <c r="K203" t="s">
        <v>78</v>
      </c>
      <c r="L203" t="s">
        <v>141</v>
      </c>
      <c r="M203" t="s">
        <v>142</v>
      </c>
      <c r="N203" t="s">
        <v>708</v>
      </c>
      <c r="O203" t="s">
        <v>89</v>
      </c>
      <c r="P203" t="str">
        <f>"4170071392                    "</f>
        <v xml:space="preserve">4170071392                    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33.35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1</v>
      </c>
      <c r="BI203">
        <v>3</v>
      </c>
      <c r="BJ203">
        <v>1.8</v>
      </c>
      <c r="BK203">
        <v>3</v>
      </c>
      <c r="BL203">
        <v>109.15</v>
      </c>
      <c r="BM203">
        <v>16.37</v>
      </c>
      <c r="BN203">
        <v>125.52</v>
      </c>
      <c r="BO203">
        <v>125.52</v>
      </c>
      <c r="BQ203" t="s">
        <v>709</v>
      </c>
      <c r="BR203" t="s">
        <v>82</v>
      </c>
      <c r="BS203" s="3">
        <v>45994</v>
      </c>
      <c r="BT203" s="4">
        <v>0.39166666666666666</v>
      </c>
      <c r="BU203" t="s">
        <v>710</v>
      </c>
      <c r="BV203" t="s">
        <v>84</v>
      </c>
      <c r="BY203">
        <v>8816</v>
      </c>
      <c r="CA203" t="s">
        <v>489</v>
      </c>
      <c r="CC203" t="s">
        <v>142</v>
      </c>
      <c r="CD203">
        <v>6012</v>
      </c>
      <c r="CE203" t="s">
        <v>86</v>
      </c>
      <c r="CF203" s="3">
        <v>45994</v>
      </c>
      <c r="CI203">
        <v>1</v>
      </c>
      <c r="CJ203">
        <v>1</v>
      </c>
      <c r="CK203">
        <v>21</v>
      </c>
      <c r="CL203" t="s">
        <v>87</v>
      </c>
    </row>
    <row r="204" spans="1:90" x14ac:dyDescent="0.3">
      <c r="A204" t="s">
        <v>72</v>
      </c>
      <c r="B204" t="s">
        <v>73</v>
      </c>
      <c r="C204" t="s">
        <v>74</v>
      </c>
      <c r="E204" t="str">
        <f>"080069615988"</f>
        <v>080069615988</v>
      </c>
      <c r="F204" s="3">
        <v>45993</v>
      </c>
      <c r="G204">
        <v>202609</v>
      </c>
      <c r="H204" t="s">
        <v>75</v>
      </c>
      <c r="I204" t="s">
        <v>76</v>
      </c>
      <c r="J204" t="s">
        <v>77</v>
      </c>
      <c r="K204" t="s">
        <v>78</v>
      </c>
      <c r="L204" t="s">
        <v>437</v>
      </c>
      <c r="M204" t="s">
        <v>438</v>
      </c>
      <c r="N204" t="s">
        <v>439</v>
      </c>
      <c r="O204" t="s">
        <v>89</v>
      </c>
      <c r="P204" t="str">
        <f>"4170071436                    "</f>
        <v xml:space="preserve">4170071436                    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43.09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1</v>
      </c>
      <c r="BI204">
        <v>1</v>
      </c>
      <c r="BJ204">
        <v>0.2</v>
      </c>
      <c r="BK204">
        <v>1</v>
      </c>
      <c r="BL204">
        <v>141.02000000000001</v>
      </c>
      <c r="BM204">
        <v>21.15</v>
      </c>
      <c r="BN204">
        <v>162.16999999999999</v>
      </c>
      <c r="BO204">
        <v>162.16999999999999</v>
      </c>
      <c r="BQ204" t="s">
        <v>440</v>
      </c>
      <c r="BR204" t="s">
        <v>82</v>
      </c>
      <c r="BS204" s="3">
        <v>45994</v>
      </c>
      <c r="BT204" s="4">
        <v>0.75</v>
      </c>
      <c r="BU204" t="s">
        <v>711</v>
      </c>
      <c r="BV204" t="s">
        <v>87</v>
      </c>
      <c r="BY204">
        <v>1200</v>
      </c>
      <c r="CA204" t="s">
        <v>712</v>
      </c>
      <c r="CC204" t="s">
        <v>438</v>
      </c>
      <c r="CD204">
        <v>3290</v>
      </c>
      <c r="CE204" t="s">
        <v>134</v>
      </c>
      <c r="CF204" s="3">
        <v>45995</v>
      </c>
      <c r="CI204">
        <v>1</v>
      </c>
      <c r="CJ204">
        <v>1</v>
      </c>
      <c r="CK204">
        <v>23</v>
      </c>
      <c r="CL204" t="s">
        <v>87</v>
      </c>
    </row>
    <row r="205" spans="1:90" x14ac:dyDescent="0.3">
      <c r="A205" t="s">
        <v>72</v>
      </c>
      <c r="B205" t="s">
        <v>73</v>
      </c>
      <c r="C205" t="s">
        <v>74</v>
      </c>
      <c r="E205" t="str">
        <f>"080069616020"</f>
        <v>080069616020</v>
      </c>
      <c r="F205" s="3">
        <v>45993</v>
      </c>
      <c r="G205">
        <v>202609</v>
      </c>
      <c r="H205" t="s">
        <v>75</v>
      </c>
      <c r="I205" t="s">
        <v>76</v>
      </c>
      <c r="J205" t="s">
        <v>77</v>
      </c>
      <c r="K205" t="s">
        <v>78</v>
      </c>
      <c r="L205" t="s">
        <v>713</v>
      </c>
      <c r="M205" t="s">
        <v>714</v>
      </c>
      <c r="N205" t="s">
        <v>715</v>
      </c>
      <c r="O205" t="s">
        <v>89</v>
      </c>
      <c r="P205" t="str">
        <f>"4170071459                    "</f>
        <v xml:space="preserve">4170071459                    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43.09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1</v>
      </c>
      <c r="BI205">
        <v>1</v>
      </c>
      <c r="BJ205">
        <v>0.2</v>
      </c>
      <c r="BK205">
        <v>1</v>
      </c>
      <c r="BL205">
        <v>141.02000000000001</v>
      </c>
      <c r="BM205">
        <v>21.15</v>
      </c>
      <c r="BN205">
        <v>162.16999999999999</v>
      </c>
      <c r="BO205">
        <v>162.16999999999999</v>
      </c>
      <c r="BQ205" t="s">
        <v>716</v>
      </c>
      <c r="BR205" t="s">
        <v>82</v>
      </c>
      <c r="BS205" s="3">
        <v>45994</v>
      </c>
      <c r="BT205" s="4">
        <v>0.57361111111111107</v>
      </c>
      <c r="BU205" t="s">
        <v>717</v>
      </c>
      <c r="BV205" t="s">
        <v>84</v>
      </c>
      <c r="BY205">
        <v>1200</v>
      </c>
      <c r="BZ205" t="s">
        <v>35</v>
      </c>
      <c r="CA205" t="s">
        <v>718</v>
      </c>
      <c r="CC205" t="s">
        <v>714</v>
      </c>
      <c r="CD205">
        <v>1133</v>
      </c>
      <c r="CE205" t="s">
        <v>134</v>
      </c>
      <c r="CF205" s="3">
        <v>45994</v>
      </c>
      <c r="CI205">
        <v>2</v>
      </c>
      <c r="CJ205">
        <v>1</v>
      </c>
      <c r="CK205">
        <v>23</v>
      </c>
      <c r="CL205" t="s">
        <v>87</v>
      </c>
    </row>
    <row r="206" spans="1:90" x14ac:dyDescent="0.3">
      <c r="A206" t="s">
        <v>72</v>
      </c>
      <c r="B206" t="s">
        <v>73</v>
      </c>
      <c r="C206" t="s">
        <v>74</v>
      </c>
      <c r="E206" t="str">
        <f>"080069616056"</f>
        <v>080069616056</v>
      </c>
      <c r="F206" s="3">
        <v>45993</v>
      </c>
      <c r="G206">
        <v>202609</v>
      </c>
      <c r="H206" t="s">
        <v>75</v>
      </c>
      <c r="I206" t="s">
        <v>76</v>
      </c>
      <c r="J206" t="s">
        <v>77</v>
      </c>
      <c r="K206" t="s">
        <v>78</v>
      </c>
      <c r="L206" t="s">
        <v>128</v>
      </c>
      <c r="M206" t="s">
        <v>129</v>
      </c>
      <c r="N206" t="s">
        <v>719</v>
      </c>
      <c r="O206" t="s">
        <v>89</v>
      </c>
      <c r="P206" t="str">
        <f>"4170071476                    "</f>
        <v xml:space="preserve">4170071476                    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22.24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1</v>
      </c>
      <c r="BI206">
        <v>1</v>
      </c>
      <c r="BJ206">
        <v>0.2</v>
      </c>
      <c r="BK206">
        <v>1</v>
      </c>
      <c r="BL206">
        <v>72.78</v>
      </c>
      <c r="BM206">
        <v>10.92</v>
      </c>
      <c r="BN206">
        <v>83.7</v>
      </c>
      <c r="BO206">
        <v>83.7</v>
      </c>
      <c r="BQ206" t="s">
        <v>720</v>
      </c>
      <c r="BR206" t="s">
        <v>82</v>
      </c>
      <c r="BS206" s="3">
        <v>45994</v>
      </c>
      <c r="BT206" s="4">
        <v>0.67708333333333337</v>
      </c>
      <c r="BU206" t="s">
        <v>721</v>
      </c>
      <c r="BV206" t="s">
        <v>87</v>
      </c>
      <c r="BW206" t="s">
        <v>722</v>
      </c>
      <c r="BX206" t="s">
        <v>187</v>
      </c>
      <c r="BY206">
        <v>1200</v>
      </c>
      <c r="CA206" t="s">
        <v>188</v>
      </c>
      <c r="CC206" t="s">
        <v>129</v>
      </c>
      <c r="CD206">
        <v>5201</v>
      </c>
      <c r="CE206" t="s">
        <v>134</v>
      </c>
      <c r="CF206" s="3">
        <v>45995</v>
      </c>
      <c r="CI206">
        <v>1</v>
      </c>
      <c r="CJ206">
        <v>1</v>
      </c>
      <c r="CK206">
        <v>21</v>
      </c>
      <c r="CL206" t="s">
        <v>87</v>
      </c>
    </row>
    <row r="207" spans="1:90" x14ac:dyDescent="0.3">
      <c r="A207" t="s">
        <v>72</v>
      </c>
      <c r="B207" t="s">
        <v>73</v>
      </c>
      <c r="C207" t="s">
        <v>74</v>
      </c>
      <c r="E207" t="str">
        <f>"080069616102"</f>
        <v>080069616102</v>
      </c>
      <c r="F207" s="3">
        <v>45993</v>
      </c>
      <c r="G207">
        <v>202609</v>
      </c>
      <c r="H207" t="s">
        <v>75</v>
      </c>
      <c r="I207" t="s">
        <v>76</v>
      </c>
      <c r="J207" t="s">
        <v>77</v>
      </c>
      <c r="K207" t="s">
        <v>78</v>
      </c>
      <c r="L207" t="s">
        <v>265</v>
      </c>
      <c r="M207" t="s">
        <v>266</v>
      </c>
      <c r="N207" t="s">
        <v>474</v>
      </c>
      <c r="O207" t="s">
        <v>340</v>
      </c>
      <c r="P207" t="str">
        <f>"4170071453                    "</f>
        <v xml:space="preserve">4170071453                    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17.38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1</v>
      </c>
      <c r="BI207">
        <v>6</v>
      </c>
      <c r="BJ207">
        <v>1.4</v>
      </c>
      <c r="BK207">
        <v>6</v>
      </c>
      <c r="BL207">
        <v>56.87</v>
      </c>
      <c r="BM207">
        <v>8.5299999999999994</v>
      </c>
      <c r="BN207">
        <v>65.400000000000006</v>
      </c>
      <c r="BO207">
        <v>65.400000000000006</v>
      </c>
      <c r="BQ207" t="s">
        <v>475</v>
      </c>
      <c r="BR207" t="s">
        <v>82</v>
      </c>
      <c r="BS207" s="3">
        <v>45994</v>
      </c>
      <c r="BT207" s="4">
        <v>0.38194444444444442</v>
      </c>
      <c r="BU207" t="s">
        <v>723</v>
      </c>
      <c r="BV207" t="s">
        <v>84</v>
      </c>
      <c r="BY207">
        <v>7000</v>
      </c>
      <c r="CA207" t="s">
        <v>417</v>
      </c>
      <c r="CC207" t="s">
        <v>266</v>
      </c>
      <c r="CD207">
        <v>1459</v>
      </c>
      <c r="CE207" t="s">
        <v>86</v>
      </c>
      <c r="CF207" s="3">
        <v>45994</v>
      </c>
      <c r="CI207">
        <v>1</v>
      </c>
      <c r="CJ207">
        <v>1</v>
      </c>
      <c r="CK207">
        <v>32</v>
      </c>
      <c r="CL207" t="s">
        <v>87</v>
      </c>
    </row>
    <row r="208" spans="1:90" x14ac:dyDescent="0.3">
      <c r="A208" t="s">
        <v>72</v>
      </c>
      <c r="B208" t="s">
        <v>73</v>
      </c>
      <c r="C208" t="s">
        <v>74</v>
      </c>
      <c r="E208" t="str">
        <f>"080069616142"</f>
        <v>080069616142</v>
      </c>
      <c r="F208" s="3">
        <v>45993</v>
      </c>
      <c r="G208">
        <v>202609</v>
      </c>
      <c r="H208" t="s">
        <v>75</v>
      </c>
      <c r="I208" t="s">
        <v>76</v>
      </c>
      <c r="J208" t="s">
        <v>77</v>
      </c>
      <c r="K208" t="s">
        <v>78</v>
      </c>
      <c r="L208" t="s">
        <v>465</v>
      </c>
      <c r="M208" t="s">
        <v>466</v>
      </c>
      <c r="N208" t="s">
        <v>724</v>
      </c>
      <c r="O208" t="s">
        <v>340</v>
      </c>
      <c r="P208" t="str">
        <f>"4170071427                    "</f>
        <v xml:space="preserve">4170071427                    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17.38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1</v>
      </c>
      <c r="BI208">
        <v>3.6</v>
      </c>
      <c r="BJ208">
        <v>1</v>
      </c>
      <c r="BK208">
        <v>4</v>
      </c>
      <c r="BL208">
        <v>56.87</v>
      </c>
      <c r="BM208">
        <v>8.5299999999999994</v>
      </c>
      <c r="BN208">
        <v>65.400000000000006</v>
      </c>
      <c r="BO208">
        <v>65.400000000000006</v>
      </c>
      <c r="BQ208" t="s">
        <v>725</v>
      </c>
      <c r="BR208" t="s">
        <v>82</v>
      </c>
      <c r="BS208" s="3">
        <v>45994</v>
      </c>
      <c r="BT208" s="4">
        <v>0.46736111111111112</v>
      </c>
      <c r="BU208" t="s">
        <v>726</v>
      </c>
      <c r="BV208" t="s">
        <v>84</v>
      </c>
      <c r="BY208">
        <v>5124.74</v>
      </c>
      <c r="CA208" t="s">
        <v>727</v>
      </c>
      <c r="CC208" t="s">
        <v>466</v>
      </c>
      <c r="CD208">
        <v>1422</v>
      </c>
      <c r="CE208" t="s">
        <v>86</v>
      </c>
      <c r="CF208" s="3">
        <v>45994</v>
      </c>
      <c r="CI208">
        <v>1</v>
      </c>
      <c r="CJ208">
        <v>1</v>
      </c>
      <c r="CK208">
        <v>32</v>
      </c>
      <c r="CL208" t="s">
        <v>87</v>
      </c>
    </row>
    <row r="209" spans="1:90" x14ac:dyDescent="0.3">
      <c r="A209" t="s">
        <v>72</v>
      </c>
      <c r="B209" t="s">
        <v>73</v>
      </c>
      <c r="C209" t="s">
        <v>74</v>
      </c>
      <c r="E209" t="str">
        <f>"080069616184"</f>
        <v>080069616184</v>
      </c>
      <c r="F209" s="3">
        <v>45993</v>
      </c>
      <c r="G209">
        <v>202609</v>
      </c>
      <c r="H209" t="s">
        <v>75</v>
      </c>
      <c r="I209" t="s">
        <v>76</v>
      </c>
      <c r="J209" t="s">
        <v>77</v>
      </c>
      <c r="K209" t="s">
        <v>78</v>
      </c>
      <c r="L209" t="s">
        <v>176</v>
      </c>
      <c r="M209" t="s">
        <v>177</v>
      </c>
      <c r="N209" t="s">
        <v>178</v>
      </c>
      <c r="O209" t="s">
        <v>89</v>
      </c>
      <c r="P209" t="str">
        <f>"4170071474                    "</f>
        <v xml:space="preserve">4170071474                    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17.37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1</v>
      </c>
      <c r="BI209">
        <v>1.4</v>
      </c>
      <c r="BJ209">
        <v>0.8</v>
      </c>
      <c r="BK209">
        <v>2</v>
      </c>
      <c r="BL209">
        <v>56.85</v>
      </c>
      <c r="BM209">
        <v>8.5299999999999994</v>
      </c>
      <c r="BN209">
        <v>65.38</v>
      </c>
      <c r="BO209">
        <v>65.38</v>
      </c>
      <c r="BQ209" t="s">
        <v>179</v>
      </c>
      <c r="BR209" t="s">
        <v>82</v>
      </c>
      <c r="BS209" s="3">
        <v>45994</v>
      </c>
      <c r="BT209" s="4">
        <v>0.4</v>
      </c>
      <c r="BU209" t="s">
        <v>180</v>
      </c>
      <c r="BV209" t="s">
        <v>84</v>
      </c>
      <c r="BY209">
        <v>4183.38</v>
      </c>
      <c r="CA209" t="s">
        <v>182</v>
      </c>
      <c r="CC209" t="s">
        <v>177</v>
      </c>
      <c r="CD209">
        <v>2094</v>
      </c>
      <c r="CE209" t="s">
        <v>86</v>
      </c>
      <c r="CF209" s="3">
        <v>45994</v>
      </c>
      <c r="CI209">
        <v>1</v>
      </c>
      <c r="CJ209">
        <v>1</v>
      </c>
      <c r="CK209">
        <v>22</v>
      </c>
      <c r="CL209" t="s">
        <v>87</v>
      </c>
    </row>
    <row r="210" spans="1:90" x14ac:dyDescent="0.3">
      <c r="A210" t="s">
        <v>72</v>
      </c>
      <c r="B210" t="s">
        <v>73</v>
      </c>
      <c r="C210" t="s">
        <v>74</v>
      </c>
      <c r="E210" t="str">
        <f>"080069616217"</f>
        <v>080069616217</v>
      </c>
      <c r="F210" s="3">
        <v>45993</v>
      </c>
      <c r="G210">
        <v>202609</v>
      </c>
      <c r="H210" t="s">
        <v>75</v>
      </c>
      <c r="I210" t="s">
        <v>76</v>
      </c>
      <c r="J210" t="s">
        <v>77</v>
      </c>
      <c r="K210" t="s">
        <v>78</v>
      </c>
      <c r="L210" t="s">
        <v>141</v>
      </c>
      <c r="M210" t="s">
        <v>142</v>
      </c>
      <c r="N210" t="s">
        <v>728</v>
      </c>
      <c r="O210" t="s">
        <v>80</v>
      </c>
      <c r="P210" t="str">
        <f>"4170071432                    "</f>
        <v xml:space="preserve">4170071432                    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46.56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1</v>
      </c>
      <c r="BI210">
        <v>6.5</v>
      </c>
      <c r="BJ210">
        <v>16.2</v>
      </c>
      <c r="BK210">
        <v>17</v>
      </c>
      <c r="BL210">
        <v>158.47999999999999</v>
      </c>
      <c r="BM210">
        <v>23.77</v>
      </c>
      <c r="BN210">
        <v>182.25</v>
      </c>
      <c r="BO210">
        <v>182.25</v>
      </c>
      <c r="BQ210" t="s">
        <v>729</v>
      </c>
      <c r="BR210" t="s">
        <v>82</v>
      </c>
      <c r="BS210" s="3">
        <v>45995</v>
      </c>
      <c r="BT210" s="4">
        <v>0.41944444444444445</v>
      </c>
      <c r="BU210" t="s">
        <v>730</v>
      </c>
      <c r="BV210" t="s">
        <v>84</v>
      </c>
      <c r="BY210">
        <v>80901.119999999995</v>
      </c>
      <c r="BZ210" t="s">
        <v>731</v>
      </c>
      <c r="CA210" t="s">
        <v>489</v>
      </c>
      <c r="CC210" t="s">
        <v>142</v>
      </c>
      <c r="CD210">
        <v>6012</v>
      </c>
      <c r="CE210" t="s">
        <v>147</v>
      </c>
      <c r="CF210" s="3">
        <v>45995</v>
      </c>
      <c r="CI210">
        <v>3</v>
      </c>
      <c r="CJ210">
        <v>2</v>
      </c>
      <c r="CK210">
        <v>41</v>
      </c>
      <c r="CL210" t="s">
        <v>87</v>
      </c>
    </row>
    <row r="211" spans="1:90" x14ac:dyDescent="0.3">
      <c r="A211" t="s">
        <v>72</v>
      </c>
      <c r="B211" t="s">
        <v>73</v>
      </c>
      <c r="C211" t="s">
        <v>74</v>
      </c>
      <c r="E211" t="str">
        <f>"080069617093"</f>
        <v>080069617093</v>
      </c>
      <c r="F211" s="3">
        <v>45993</v>
      </c>
      <c r="G211">
        <v>202609</v>
      </c>
      <c r="H211" t="s">
        <v>75</v>
      </c>
      <c r="I211" t="s">
        <v>76</v>
      </c>
      <c r="J211" t="s">
        <v>77</v>
      </c>
      <c r="K211" t="s">
        <v>78</v>
      </c>
      <c r="L211" t="s">
        <v>176</v>
      </c>
      <c r="M211" t="s">
        <v>177</v>
      </c>
      <c r="N211" t="s">
        <v>684</v>
      </c>
      <c r="O211" t="s">
        <v>89</v>
      </c>
      <c r="P211" t="str">
        <f>"4170071463                    "</f>
        <v xml:space="preserve">4170071463                    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1</v>
      </c>
      <c r="BI211">
        <v>3</v>
      </c>
      <c r="BJ211">
        <v>0</v>
      </c>
      <c r="BK211">
        <v>3</v>
      </c>
      <c r="BL211">
        <v>0</v>
      </c>
      <c r="BM211">
        <v>0</v>
      </c>
      <c r="BN211">
        <v>0</v>
      </c>
      <c r="BO211">
        <v>0</v>
      </c>
      <c r="BQ211" t="s">
        <v>685</v>
      </c>
      <c r="BR211" t="s">
        <v>82</v>
      </c>
      <c r="BS211" s="3">
        <v>45993</v>
      </c>
      <c r="BT211" s="4">
        <v>0.5541666666666667</v>
      </c>
      <c r="BU211" t="s">
        <v>732</v>
      </c>
      <c r="BV211" t="s">
        <v>84</v>
      </c>
      <c r="BY211">
        <v>8816</v>
      </c>
      <c r="BZ211" t="s">
        <v>733</v>
      </c>
      <c r="CA211" t="s">
        <v>734</v>
      </c>
      <c r="CC211" t="s">
        <v>177</v>
      </c>
      <c r="CD211">
        <v>2188</v>
      </c>
      <c r="CE211" t="s">
        <v>147</v>
      </c>
      <c r="CI211">
        <v>1</v>
      </c>
      <c r="CJ211">
        <v>0</v>
      </c>
      <c r="CK211">
        <v>-1</v>
      </c>
      <c r="CL211" t="s">
        <v>87</v>
      </c>
    </row>
    <row r="212" spans="1:90" x14ac:dyDescent="0.3">
      <c r="A212" t="s">
        <v>72</v>
      </c>
      <c r="B212" t="s">
        <v>73</v>
      </c>
      <c r="C212" t="s">
        <v>74</v>
      </c>
      <c r="E212" t="str">
        <f>"080069617135"</f>
        <v>080069617135</v>
      </c>
      <c r="F212" s="3">
        <v>45993</v>
      </c>
      <c r="G212">
        <v>202609</v>
      </c>
      <c r="H212" t="s">
        <v>75</v>
      </c>
      <c r="I212" t="s">
        <v>76</v>
      </c>
      <c r="J212" t="s">
        <v>77</v>
      </c>
      <c r="K212" t="s">
        <v>78</v>
      </c>
      <c r="L212" t="s">
        <v>141</v>
      </c>
      <c r="M212" t="s">
        <v>142</v>
      </c>
      <c r="N212" t="s">
        <v>735</v>
      </c>
      <c r="O212" t="s">
        <v>89</v>
      </c>
      <c r="P212" t="str">
        <f>"4170071434                    "</f>
        <v xml:space="preserve">4170071434                    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1</v>
      </c>
      <c r="BI212">
        <v>1</v>
      </c>
      <c r="BJ212">
        <v>0</v>
      </c>
      <c r="BK212">
        <v>1</v>
      </c>
      <c r="BL212">
        <v>0</v>
      </c>
      <c r="BM212">
        <v>0</v>
      </c>
      <c r="BN212">
        <v>0</v>
      </c>
      <c r="BO212">
        <v>0</v>
      </c>
      <c r="BQ212" t="s">
        <v>736</v>
      </c>
      <c r="BR212" t="s">
        <v>82</v>
      </c>
      <c r="BS212" s="3">
        <v>45993</v>
      </c>
      <c r="BT212" s="4">
        <v>0.5541666666666667</v>
      </c>
      <c r="BU212" t="s">
        <v>732</v>
      </c>
      <c r="BV212" t="s">
        <v>84</v>
      </c>
      <c r="BY212">
        <v>1200</v>
      </c>
      <c r="BZ212" t="s">
        <v>737</v>
      </c>
      <c r="CA212" t="s">
        <v>734</v>
      </c>
      <c r="CC212" t="s">
        <v>142</v>
      </c>
      <c r="CD212">
        <v>6100</v>
      </c>
      <c r="CE212" t="s">
        <v>127</v>
      </c>
      <c r="CI212">
        <v>1</v>
      </c>
      <c r="CJ212">
        <v>0</v>
      </c>
      <c r="CK212">
        <v>-1</v>
      </c>
      <c r="CL212" t="s">
        <v>87</v>
      </c>
    </row>
    <row r="213" spans="1:90" x14ac:dyDescent="0.3">
      <c r="A213" t="s">
        <v>72</v>
      </c>
      <c r="B213" t="s">
        <v>73</v>
      </c>
      <c r="C213" t="s">
        <v>74</v>
      </c>
      <c r="E213" t="str">
        <f>"080069617257"</f>
        <v>080069617257</v>
      </c>
      <c r="F213" s="3">
        <v>45993</v>
      </c>
      <c r="G213">
        <v>202609</v>
      </c>
      <c r="H213" t="s">
        <v>75</v>
      </c>
      <c r="I213" t="s">
        <v>76</v>
      </c>
      <c r="J213" t="s">
        <v>77</v>
      </c>
      <c r="K213" t="s">
        <v>78</v>
      </c>
      <c r="L213" t="s">
        <v>141</v>
      </c>
      <c r="M213" t="s">
        <v>142</v>
      </c>
      <c r="N213" t="s">
        <v>738</v>
      </c>
      <c r="O213" t="s">
        <v>89</v>
      </c>
      <c r="P213" t="str">
        <f>"4170071435                    "</f>
        <v xml:space="preserve">4170071435                    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22.24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1</v>
      </c>
      <c r="BI213">
        <v>1</v>
      </c>
      <c r="BJ213">
        <v>0.2</v>
      </c>
      <c r="BK213">
        <v>1</v>
      </c>
      <c r="BL213">
        <v>72.78</v>
      </c>
      <c r="BM213">
        <v>10.92</v>
      </c>
      <c r="BN213">
        <v>83.7</v>
      </c>
      <c r="BO213">
        <v>83.7</v>
      </c>
      <c r="BQ213" t="s">
        <v>739</v>
      </c>
      <c r="BR213" t="s">
        <v>82</v>
      </c>
      <c r="BS213" s="3">
        <v>45994</v>
      </c>
      <c r="BT213" s="4">
        <v>0.42986111111111114</v>
      </c>
      <c r="BU213" t="s">
        <v>740</v>
      </c>
      <c r="BV213" t="s">
        <v>84</v>
      </c>
      <c r="BY213">
        <v>1200</v>
      </c>
      <c r="CA213" t="s">
        <v>277</v>
      </c>
      <c r="CC213" t="s">
        <v>142</v>
      </c>
      <c r="CD213">
        <v>6001</v>
      </c>
      <c r="CE213" t="s">
        <v>450</v>
      </c>
      <c r="CF213" s="3">
        <v>45994</v>
      </c>
      <c r="CI213">
        <v>1</v>
      </c>
      <c r="CJ213">
        <v>1</v>
      </c>
      <c r="CK213">
        <v>21</v>
      </c>
      <c r="CL213" t="s">
        <v>87</v>
      </c>
    </row>
    <row r="214" spans="1:90" x14ac:dyDescent="0.3">
      <c r="A214" t="s">
        <v>72</v>
      </c>
      <c r="B214" t="s">
        <v>73</v>
      </c>
      <c r="C214" t="s">
        <v>74</v>
      </c>
      <c r="E214" t="str">
        <f>"080069617404"</f>
        <v>080069617404</v>
      </c>
      <c r="F214" s="3">
        <v>45993</v>
      </c>
      <c r="G214">
        <v>202609</v>
      </c>
      <c r="H214" t="s">
        <v>75</v>
      </c>
      <c r="I214" t="s">
        <v>76</v>
      </c>
      <c r="J214" t="s">
        <v>77</v>
      </c>
      <c r="K214" t="s">
        <v>78</v>
      </c>
      <c r="L214" t="s">
        <v>176</v>
      </c>
      <c r="M214" t="s">
        <v>177</v>
      </c>
      <c r="N214" t="s">
        <v>410</v>
      </c>
      <c r="O214" t="s">
        <v>89</v>
      </c>
      <c r="P214" t="str">
        <f>"4170071446                    "</f>
        <v xml:space="preserve">4170071446                    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17.37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1</v>
      </c>
      <c r="BI214">
        <v>1</v>
      </c>
      <c r="BJ214">
        <v>0.2</v>
      </c>
      <c r="BK214">
        <v>1</v>
      </c>
      <c r="BL214">
        <v>56.85</v>
      </c>
      <c r="BM214">
        <v>8.5299999999999994</v>
      </c>
      <c r="BN214">
        <v>65.38</v>
      </c>
      <c r="BO214">
        <v>65.38</v>
      </c>
      <c r="BQ214" t="s">
        <v>411</v>
      </c>
      <c r="BR214" t="s">
        <v>82</v>
      </c>
      <c r="BS214" s="3">
        <v>45994</v>
      </c>
      <c r="BT214" s="4">
        <v>0.39583333333333331</v>
      </c>
      <c r="BU214" t="s">
        <v>412</v>
      </c>
      <c r="BV214" t="s">
        <v>84</v>
      </c>
      <c r="BY214">
        <v>1200</v>
      </c>
      <c r="CA214" t="s">
        <v>413</v>
      </c>
      <c r="CC214" t="s">
        <v>177</v>
      </c>
      <c r="CD214">
        <v>2013</v>
      </c>
      <c r="CE214" t="s">
        <v>134</v>
      </c>
      <c r="CF214" s="3">
        <v>45995</v>
      </c>
      <c r="CI214">
        <v>1</v>
      </c>
      <c r="CJ214">
        <v>1</v>
      </c>
      <c r="CK214">
        <v>22</v>
      </c>
      <c r="CL214" t="s">
        <v>87</v>
      </c>
    </row>
    <row r="215" spans="1:90" x14ac:dyDescent="0.3">
      <c r="A215" t="s">
        <v>72</v>
      </c>
      <c r="B215" t="s">
        <v>73</v>
      </c>
      <c r="C215" t="s">
        <v>74</v>
      </c>
      <c r="E215" t="str">
        <f>"080069617449"</f>
        <v>080069617449</v>
      </c>
      <c r="F215" s="3">
        <v>45993</v>
      </c>
      <c r="G215">
        <v>202609</v>
      </c>
      <c r="H215" t="s">
        <v>75</v>
      </c>
      <c r="I215" t="s">
        <v>76</v>
      </c>
      <c r="J215" t="s">
        <v>77</v>
      </c>
      <c r="K215" t="s">
        <v>78</v>
      </c>
      <c r="L215" t="s">
        <v>100</v>
      </c>
      <c r="M215" t="s">
        <v>101</v>
      </c>
      <c r="N215" t="s">
        <v>741</v>
      </c>
      <c r="O215" t="s">
        <v>89</v>
      </c>
      <c r="P215" t="str">
        <f>"4170071433                    "</f>
        <v xml:space="preserve">4170071433                    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22.24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1</v>
      </c>
      <c r="BI215">
        <v>1</v>
      </c>
      <c r="BJ215">
        <v>0.2</v>
      </c>
      <c r="BK215">
        <v>1</v>
      </c>
      <c r="BL215">
        <v>72.78</v>
      </c>
      <c r="BM215">
        <v>10.92</v>
      </c>
      <c r="BN215">
        <v>83.7</v>
      </c>
      <c r="BO215">
        <v>83.7</v>
      </c>
      <c r="BQ215" t="s">
        <v>742</v>
      </c>
      <c r="BR215" t="s">
        <v>82</v>
      </c>
      <c r="BS215" s="3">
        <v>45994</v>
      </c>
      <c r="BT215" s="4">
        <v>0.52083333333333337</v>
      </c>
      <c r="BU215" t="s">
        <v>743</v>
      </c>
      <c r="BV215" t="s">
        <v>87</v>
      </c>
      <c r="BW215" t="s">
        <v>174</v>
      </c>
      <c r="BX215" t="s">
        <v>247</v>
      </c>
      <c r="BY215">
        <v>1200</v>
      </c>
      <c r="CA215" t="s">
        <v>248</v>
      </c>
      <c r="CC215" t="s">
        <v>101</v>
      </c>
      <c r="CD215">
        <v>4068</v>
      </c>
      <c r="CE215" t="s">
        <v>134</v>
      </c>
      <c r="CF215" s="3">
        <v>45994</v>
      </c>
      <c r="CI215">
        <v>1</v>
      </c>
      <c r="CJ215">
        <v>1</v>
      </c>
      <c r="CK215">
        <v>21</v>
      </c>
      <c r="CL215" t="s">
        <v>87</v>
      </c>
    </row>
    <row r="216" spans="1:90" x14ac:dyDescent="0.3">
      <c r="A216" t="s">
        <v>72</v>
      </c>
      <c r="B216" t="s">
        <v>73</v>
      </c>
      <c r="C216" t="s">
        <v>74</v>
      </c>
      <c r="E216" t="str">
        <f>"080069617627"</f>
        <v>080069617627</v>
      </c>
      <c r="F216" s="3">
        <v>45993</v>
      </c>
      <c r="G216">
        <v>202609</v>
      </c>
      <c r="H216" t="s">
        <v>75</v>
      </c>
      <c r="I216" t="s">
        <v>76</v>
      </c>
      <c r="J216" t="s">
        <v>77</v>
      </c>
      <c r="K216" t="s">
        <v>78</v>
      </c>
      <c r="L216" t="s">
        <v>141</v>
      </c>
      <c r="M216" t="s">
        <v>142</v>
      </c>
      <c r="N216" t="s">
        <v>735</v>
      </c>
      <c r="O216" t="s">
        <v>89</v>
      </c>
      <c r="P216" t="str">
        <f>"4170071434                    "</f>
        <v xml:space="preserve">4170071434                    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61.14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1</v>
      </c>
      <c r="BI216">
        <v>5.5</v>
      </c>
      <c r="BJ216">
        <v>1.8</v>
      </c>
      <c r="BK216">
        <v>5.5</v>
      </c>
      <c r="BL216">
        <v>200.09</v>
      </c>
      <c r="BM216">
        <v>30.01</v>
      </c>
      <c r="BN216">
        <v>230.1</v>
      </c>
      <c r="BO216">
        <v>230.1</v>
      </c>
      <c r="BQ216" t="s">
        <v>736</v>
      </c>
      <c r="BR216" t="s">
        <v>82</v>
      </c>
      <c r="BS216" s="3">
        <v>45994</v>
      </c>
      <c r="BT216" s="4">
        <v>0.43125000000000002</v>
      </c>
      <c r="BU216" t="s">
        <v>744</v>
      </c>
      <c r="BV216" t="s">
        <v>84</v>
      </c>
      <c r="BY216">
        <v>9010.43</v>
      </c>
      <c r="CA216" t="s">
        <v>745</v>
      </c>
      <c r="CC216" t="s">
        <v>142</v>
      </c>
      <c r="CD216">
        <v>6100</v>
      </c>
      <c r="CE216" t="s">
        <v>86</v>
      </c>
      <c r="CF216" s="3">
        <v>45995</v>
      </c>
      <c r="CI216">
        <v>1</v>
      </c>
      <c r="CJ216">
        <v>1</v>
      </c>
      <c r="CK216">
        <v>21</v>
      </c>
      <c r="CL216" t="s">
        <v>87</v>
      </c>
    </row>
    <row r="217" spans="1:90" x14ac:dyDescent="0.3">
      <c r="A217" t="s">
        <v>72</v>
      </c>
      <c r="B217" t="s">
        <v>73</v>
      </c>
      <c r="C217" t="s">
        <v>74</v>
      </c>
      <c r="E217" t="str">
        <f>"080069617800"</f>
        <v>080069617800</v>
      </c>
      <c r="F217" s="3">
        <v>45993</v>
      </c>
      <c r="G217">
        <v>202609</v>
      </c>
      <c r="H217" t="s">
        <v>75</v>
      </c>
      <c r="I217" t="s">
        <v>76</v>
      </c>
      <c r="J217" t="s">
        <v>77</v>
      </c>
      <c r="K217" t="s">
        <v>78</v>
      </c>
      <c r="L217" t="s">
        <v>176</v>
      </c>
      <c r="M217" t="s">
        <v>177</v>
      </c>
      <c r="N217" t="s">
        <v>684</v>
      </c>
      <c r="O217" t="s">
        <v>89</v>
      </c>
      <c r="P217" t="str">
        <f>"4170071463                    "</f>
        <v xml:space="preserve">4170071463                    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17.37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17.41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1</v>
      </c>
      <c r="BI217">
        <v>2.9</v>
      </c>
      <c r="BJ217">
        <v>1.6</v>
      </c>
      <c r="BK217">
        <v>3</v>
      </c>
      <c r="BL217">
        <v>74.260000000000005</v>
      </c>
      <c r="BM217">
        <v>11.14</v>
      </c>
      <c r="BN217">
        <v>85.4</v>
      </c>
      <c r="BO217">
        <v>85.4</v>
      </c>
      <c r="BQ217" t="s">
        <v>685</v>
      </c>
      <c r="BR217" t="s">
        <v>82</v>
      </c>
      <c r="BS217" s="3">
        <v>45994</v>
      </c>
      <c r="BT217" s="4">
        <v>0.43402777777777779</v>
      </c>
      <c r="BU217" t="s">
        <v>686</v>
      </c>
      <c r="BV217" t="s">
        <v>84</v>
      </c>
      <c r="BY217">
        <v>8116.8</v>
      </c>
      <c r="BZ217" t="s">
        <v>30</v>
      </c>
      <c r="CA217" t="s">
        <v>687</v>
      </c>
      <c r="CC217" t="s">
        <v>177</v>
      </c>
      <c r="CD217">
        <v>2188</v>
      </c>
      <c r="CE217" t="s">
        <v>86</v>
      </c>
      <c r="CF217" s="3">
        <v>45994</v>
      </c>
      <c r="CI217">
        <v>1</v>
      </c>
      <c r="CJ217">
        <v>1</v>
      </c>
      <c r="CK217">
        <v>22</v>
      </c>
      <c r="CL217" t="s">
        <v>87</v>
      </c>
    </row>
    <row r="218" spans="1:90" x14ac:dyDescent="0.3">
      <c r="A218" t="s">
        <v>72</v>
      </c>
      <c r="B218" t="s">
        <v>73</v>
      </c>
      <c r="C218" t="s">
        <v>74</v>
      </c>
      <c r="E218" t="str">
        <f>"080069617857"</f>
        <v>080069617857</v>
      </c>
      <c r="F218" s="3">
        <v>45993</v>
      </c>
      <c r="G218">
        <v>202609</v>
      </c>
      <c r="H218" t="s">
        <v>75</v>
      </c>
      <c r="I218" t="s">
        <v>76</v>
      </c>
      <c r="J218" t="s">
        <v>77</v>
      </c>
      <c r="K218" t="s">
        <v>78</v>
      </c>
      <c r="L218" t="s">
        <v>625</v>
      </c>
      <c r="M218" t="s">
        <v>626</v>
      </c>
      <c r="N218" t="s">
        <v>746</v>
      </c>
      <c r="O218" t="s">
        <v>89</v>
      </c>
      <c r="P218" t="str">
        <f>"4170071440                    "</f>
        <v xml:space="preserve">4170071440                    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22.24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1</v>
      </c>
      <c r="BI218">
        <v>1</v>
      </c>
      <c r="BJ218">
        <v>0.2</v>
      </c>
      <c r="BK218">
        <v>1</v>
      </c>
      <c r="BL218">
        <v>72.78</v>
      </c>
      <c r="BM218">
        <v>10.92</v>
      </c>
      <c r="BN218">
        <v>83.7</v>
      </c>
      <c r="BO218">
        <v>83.7</v>
      </c>
      <c r="BQ218" t="s">
        <v>747</v>
      </c>
      <c r="BR218" t="s">
        <v>82</v>
      </c>
      <c r="BS218" s="3">
        <v>45994</v>
      </c>
      <c r="BT218" s="4">
        <v>0.36944444444444446</v>
      </c>
      <c r="BU218" t="s">
        <v>748</v>
      </c>
      <c r="BV218" t="s">
        <v>84</v>
      </c>
      <c r="BY218">
        <v>1200</v>
      </c>
      <c r="CA218" t="s">
        <v>630</v>
      </c>
      <c r="CC218" t="s">
        <v>626</v>
      </c>
      <c r="CD218">
        <v>4026</v>
      </c>
      <c r="CE218" t="s">
        <v>134</v>
      </c>
      <c r="CF218" s="3">
        <v>45995</v>
      </c>
      <c r="CI218">
        <v>1</v>
      </c>
      <c r="CJ218">
        <v>1</v>
      </c>
      <c r="CK218">
        <v>21</v>
      </c>
      <c r="CL218" t="s">
        <v>87</v>
      </c>
    </row>
    <row r="219" spans="1:90" x14ac:dyDescent="0.3">
      <c r="A219" t="s">
        <v>72</v>
      </c>
      <c r="B219" t="s">
        <v>73</v>
      </c>
      <c r="C219" t="s">
        <v>74</v>
      </c>
      <c r="E219" t="str">
        <f>"080069617895"</f>
        <v>080069617895</v>
      </c>
      <c r="F219" s="3">
        <v>45993</v>
      </c>
      <c r="G219">
        <v>202609</v>
      </c>
      <c r="H219" t="s">
        <v>75</v>
      </c>
      <c r="I219" t="s">
        <v>76</v>
      </c>
      <c r="J219" t="s">
        <v>77</v>
      </c>
      <c r="K219" t="s">
        <v>78</v>
      </c>
      <c r="L219" t="s">
        <v>156</v>
      </c>
      <c r="M219" t="s">
        <v>157</v>
      </c>
      <c r="N219" t="s">
        <v>749</v>
      </c>
      <c r="O219" t="s">
        <v>89</v>
      </c>
      <c r="P219" t="str">
        <f>"4170071425                    "</f>
        <v xml:space="preserve">4170071425                    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33.35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1</v>
      </c>
      <c r="BI219">
        <v>3</v>
      </c>
      <c r="BJ219">
        <v>1.9</v>
      </c>
      <c r="BK219">
        <v>3</v>
      </c>
      <c r="BL219">
        <v>109.15</v>
      </c>
      <c r="BM219">
        <v>16.37</v>
      </c>
      <c r="BN219">
        <v>125.52</v>
      </c>
      <c r="BO219">
        <v>125.52</v>
      </c>
      <c r="BQ219" t="s">
        <v>750</v>
      </c>
      <c r="BR219" t="s">
        <v>82</v>
      </c>
      <c r="BS219" s="3">
        <v>45994</v>
      </c>
      <c r="BT219" s="4">
        <v>0.39166666666666666</v>
      </c>
      <c r="BU219" t="s">
        <v>751</v>
      </c>
      <c r="BV219" t="s">
        <v>84</v>
      </c>
      <c r="BY219">
        <v>9576</v>
      </c>
      <c r="CA219" t="s">
        <v>264</v>
      </c>
      <c r="CC219" t="s">
        <v>157</v>
      </c>
      <c r="CD219">
        <v>8001</v>
      </c>
      <c r="CE219" t="s">
        <v>86</v>
      </c>
      <c r="CF219" s="3">
        <v>45995</v>
      </c>
      <c r="CI219">
        <v>1</v>
      </c>
      <c r="CJ219">
        <v>1</v>
      </c>
      <c r="CK219">
        <v>21</v>
      </c>
      <c r="CL219" t="s">
        <v>87</v>
      </c>
    </row>
    <row r="220" spans="1:90" x14ac:dyDescent="0.3">
      <c r="A220" t="s">
        <v>72</v>
      </c>
      <c r="B220" t="s">
        <v>73</v>
      </c>
      <c r="C220" t="s">
        <v>74</v>
      </c>
      <c r="E220" t="str">
        <f>"080069617951"</f>
        <v>080069617951</v>
      </c>
      <c r="F220" s="3">
        <v>45993</v>
      </c>
      <c r="G220">
        <v>202609</v>
      </c>
      <c r="H220" t="s">
        <v>75</v>
      </c>
      <c r="I220" t="s">
        <v>76</v>
      </c>
      <c r="J220" t="s">
        <v>77</v>
      </c>
      <c r="K220" t="s">
        <v>78</v>
      </c>
      <c r="L220" t="s">
        <v>502</v>
      </c>
      <c r="M220" t="s">
        <v>503</v>
      </c>
      <c r="N220" t="s">
        <v>752</v>
      </c>
      <c r="O220" t="s">
        <v>89</v>
      </c>
      <c r="P220" t="str">
        <f>"4170071414                    "</f>
        <v xml:space="preserve">4170071414                    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17.37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1</v>
      </c>
      <c r="BI220">
        <v>2</v>
      </c>
      <c r="BJ220">
        <v>1.9</v>
      </c>
      <c r="BK220">
        <v>2</v>
      </c>
      <c r="BL220">
        <v>56.85</v>
      </c>
      <c r="BM220">
        <v>8.5299999999999994</v>
      </c>
      <c r="BN220">
        <v>65.38</v>
      </c>
      <c r="BO220">
        <v>65.38</v>
      </c>
      <c r="BQ220" t="s">
        <v>753</v>
      </c>
      <c r="BR220" t="s">
        <v>82</v>
      </c>
      <c r="BS220" s="3">
        <v>45994</v>
      </c>
      <c r="BT220" s="4">
        <v>0.53472222222222221</v>
      </c>
      <c r="BU220" t="s">
        <v>754</v>
      </c>
      <c r="BV220" t="s">
        <v>84</v>
      </c>
      <c r="BY220">
        <v>9576</v>
      </c>
      <c r="CA220" t="s">
        <v>507</v>
      </c>
      <c r="CC220" t="s">
        <v>503</v>
      </c>
      <c r="CD220">
        <v>1559</v>
      </c>
      <c r="CE220" t="s">
        <v>86</v>
      </c>
      <c r="CF220" s="3">
        <v>45994</v>
      </c>
      <c r="CI220">
        <v>1</v>
      </c>
      <c r="CJ220">
        <v>1</v>
      </c>
      <c r="CK220">
        <v>22</v>
      </c>
      <c r="CL220" t="s">
        <v>87</v>
      </c>
    </row>
    <row r="221" spans="1:90" x14ac:dyDescent="0.3">
      <c r="A221" t="s">
        <v>72</v>
      </c>
      <c r="B221" t="s">
        <v>73</v>
      </c>
      <c r="C221" t="s">
        <v>74</v>
      </c>
      <c r="E221" t="str">
        <f>"080069618611"</f>
        <v>080069618611</v>
      </c>
      <c r="F221" s="3">
        <v>45993</v>
      </c>
      <c r="G221">
        <v>202609</v>
      </c>
      <c r="H221" t="s">
        <v>75</v>
      </c>
      <c r="I221" t="s">
        <v>76</v>
      </c>
      <c r="J221" t="s">
        <v>77</v>
      </c>
      <c r="K221" t="s">
        <v>78</v>
      </c>
      <c r="L221" t="s">
        <v>755</v>
      </c>
      <c r="M221" t="s">
        <v>756</v>
      </c>
      <c r="N221" t="s">
        <v>757</v>
      </c>
      <c r="O221" t="s">
        <v>80</v>
      </c>
      <c r="P221" t="str">
        <f>"4170071470                    "</f>
        <v xml:space="preserve">4170071470                    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60.65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1</v>
      </c>
      <c r="BI221">
        <v>5.7</v>
      </c>
      <c r="BJ221">
        <v>2.2999999999999998</v>
      </c>
      <c r="BK221">
        <v>6</v>
      </c>
      <c r="BL221">
        <v>204.6</v>
      </c>
      <c r="BM221">
        <v>30.69</v>
      </c>
      <c r="BN221">
        <v>235.29</v>
      </c>
      <c r="BO221">
        <v>235.29</v>
      </c>
      <c r="BQ221" t="s">
        <v>758</v>
      </c>
      <c r="BR221" t="s">
        <v>82</v>
      </c>
      <c r="BS221" s="3">
        <v>46000</v>
      </c>
      <c r="BT221" s="4">
        <v>0.63472222222222219</v>
      </c>
      <c r="BU221" t="s">
        <v>759</v>
      </c>
      <c r="BV221" t="s">
        <v>84</v>
      </c>
      <c r="BY221">
        <v>11452.02</v>
      </c>
      <c r="BZ221" t="s">
        <v>35</v>
      </c>
      <c r="CC221" t="s">
        <v>756</v>
      </c>
      <c r="CD221">
        <v>3760</v>
      </c>
      <c r="CE221" t="s">
        <v>760</v>
      </c>
      <c r="CF221" s="3">
        <v>46000</v>
      </c>
      <c r="CI221">
        <v>6</v>
      </c>
      <c r="CJ221">
        <v>5</v>
      </c>
      <c r="CK221">
        <v>43</v>
      </c>
      <c r="CL221" t="s">
        <v>87</v>
      </c>
    </row>
    <row r="222" spans="1:90" x14ac:dyDescent="0.3">
      <c r="A222" t="s">
        <v>72</v>
      </c>
      <c r="B222" t="s">
        <v>73</v>
      </c>
      <c r="C222" t="s">
        <v>74</v>
      </c>
      <c r="E222" t="str">
        <f>"080069618659"</f>
        <v>080069618659</v>
      </c>
      <c r="F222" s="3">
        <v>45993</v>
      </c>
      <c r="G222">
        <v>202609</v>
      </c>
      <c r="H222" t="s">
        <v>75</v>
      </c>
      <c r="I222" t="s">
        <v>76</v>
      </c>
      <c r="J222" t="s">
        <v>77</v>
      </c>
      <c r="K222" t="s">
        <v>78</v>
      </c>
      <c r="L222" t="s">
        <v>135</v>
      </c>
      <c r="M222" t="s">
        <v>136</v>
      </c>
      <c r="N222" t="s">
        <v>137</v>
      </c>
      <c r="O222" t="s">
        <v>89</v>
      </c>
      <c r="P222" t="str">
        <f>"4170071437                    "</f>
        <v xml:space="preserve">4170071437                    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101.46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1</v>
      </c>
      <c r="BI222">
        <v>5</v>
      </c>
      <c r="BJ222">
        <v>3</v>
      </c>
      <c r="BK222">
        <v>5</v>
      </c>
      <c r="BL222">
        <v>332.05</v>
      </c>
      <c r="BM222">
        <v>49.81</v>
      </c>
      <c r="BN222">
        <v>381.86</v>
      </c>
      <c r="BO222">
        <v>381.86</v>
      </c>
      <c r="BQ222" t="s">
        <v>138</v>
      </c>
      <c r="BR222" t="s">
        <v>82</v>
      </c>
      <c r="BS222" s="3">
        <v>45994</v>
      </c>
      <c r="BT222" s="4">
        <v>0.39861111111111114</v>
      </c>
      <c r="BU222" t="s">
        <v>139</v>
      </c>
      <c r="BV222" t="s">
        <v>84</v>
      </c>
      <c r="BY222">
        <v>14872</v>
      </c>
      <c r="CA222" t="s">
        <v>140</v>
      </c>
      <c r="CC222" t="s">
        <v>136</v>
      </c>
      <c r="CD222">
        <v>7110</v>
      </c>
      <c r="CE222" t="s">
        <v>93</v>
      </c>
      <c r="CF222" s="3">
        <v>45995</v>
      </c>
      <c r="CI222">
        <v>1</v>
      </c>
      <c r="CJ222">
        <v>1</v>
      </c>
      <c r="CK222">
        <v>23</v>
      </c>
      <c r="CL222" t="s">
        <v>87</v>
      </c>
    </row>
    <row r="223" spans="1:90" x14ac:dyDescent="0.3">
      <c r="A223" t="s">
        <v>72</v>
      </c>
      <c r="B223" t="s">
        <v>73</v>
      </c>
      <c r="C223" t="s">
        <v>74</v>
      </c>
      <c r="E223" t="str">
        <f>"080069618694"</f>
        <v>080069618694</v>
      </c>
      <c r="F223" s="3">
        <v>45993</v>
      </c>
      <c r="G223">
        <v>202609</v>
      </c>
      <c r="H223" t="s">
        <v>75</v>
      </c>
      <c r="I223" t="s">
        <v>76</v>
      </c>
      <c r="J223" t="s">
        <v>77</v>
      </c>
      <c r="K223" t="s">
        <v>78</v>
      </c>
      <c r="L223" t="s">
        <v>189</v>
      </c>
      <c r="M223" t="s">
        <v>190</v>
      </c>
      <c r="N223" t="s">
        <v>308</v>
      </c>
      <c r="O223" t="s">
        <v>89</v>
      </c>
      <c r="P223" t="str">
        <f>"4170071452                    "</f>
        <v xml:space="preserve">4170071452                    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22.24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17.41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1</v>
      </c>
      <c r="BI223">
        <v>1</v>
      </c>
      <c r="BJ223">
        <v>0.2</v>
      </c>
      <c r="BK223">
        <v>1</v>
      </c>
      <c r="BL223">
        <v>90.19</v>
      </c>
      <c r="BM223">
        <v>13.53</v>
      </c>
      <c r="BN223">
        <v>103.72</v>
      </c>
      <c r="BO223">
        <v>103.72</v>
      </c>
      <c r="BQ223" t="s">
        <v>309</v>
      </c>
      <c r="BR223" t="s">
        <v>82</v>
      </c>
      <c r="BS223" s="3">
        <v>45999</v>
      </c>
      <c r="BT223" s="4">
        <v>0.41666666666666669</v>
      </c>
      <c r="BU223" t="s">
        <v>761</v>
      </c>
      <c r="BV223" t="s">
        <v>87</v>
      </c>
      <c r="BY223">
        <v>1200</v>
      </c>
      <c r="BZ223" t="s">
        <v>30</v>
      </c>
      <c r="CA223" t="s">
        <v>311</v>
      </c>
      <c r="CC223" t="s">
        <v>190</v>
      </c>
      <c r="CD223">
        <v>3699</v>
      </c>
      <c r="CE223" t="s">
        <v>134</v>
      </c>
      <c r="CF223" s="3">
        <v>46000</v>
      </c>
      <c r="CI223">
        <v>1</v>
      </c>
      <c r="CJ223">
        <v>4</v>
      </c>
      <c r="CK223">
        <v>21</v>
      </c>
      <c r="CL223" t="s">
        <v>87</v>
      </c>
    </row>
    <row r="224" spans="1:90" x14ac:dyDescent="0.3">
      <c r="A224" t="s">
        <v>72</v>
      </c>
      <c r="B224" t="s">
        <v>73</v>
      </c>
      <c r="C224" t="s">
        <v>74</v>
      </c>
      <c r="E224" t="str">
        <f>"080069618997"</f>
        <v>080069618997</v>
      </c>
      <c r="F224" s="3">
        <v>45993</v>
      </c>
      <c r="G224">
        <v>202609</v>
      </c>
      <c r="H224" t="s">
        <v>75</v>
      </c>
      <c r="I224" t="s">
        <v>76</v>
      </c>
      <c r="J224" t="s">
        <v>77</v>
      </c>
      <c r="K224" t="s">
        <v>78</v>
      </c>
      <c r="L224" t="s">
        <v>75</v>
      </c>
      <c r="M224" t="s">
        <v>76</v>
      </c>
      <c r="N224" t="s">
        <v>543</v>
      </c>
      <c r="O224" t="s">
        <v>89</v>
      </c>
      <c r="P224" t="str">
        <f>"4170071410                    "</f>
        <v xml:space="preserve">4170071410                    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17.37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1</v>
      </c>
      <c r="BI224">
        <v>1</v>
      </c>
      <c r="BJ224">
        <v>0.2</v>
      </c>
      <c r="BK224">
        <v>1</v>
      </c>
      <c r="BL224">
        <v>56.85</v>
      </c>
      <c r="BM224">
        <v>8.5299999999999994</v>
      </c>
      <c r="BN224">
        <v>65.38</v>
      </c>
      <c r="BO224">
        <v>65.38</v>
      </c>
      <c r="BQ224" t="s">
        <v>544</v>
      </c>
      <c r="BR224" t="s">
        <v>82</v>
      </c>
      <c r="BS224" s="3">
        <v>45994</v>
      </c>
      <c r="BT224" s="4">
        <v>0.32291666666666669</v>
      </c>
      <c r="BU224" t="s">
        <v>762</v>
      </c>
      <c r="BV224" t="s">
        <v>84</v>
      </c>
      <c r="BY224">
        <v>1200</v>
      </c>
      <c r="CA224" t="s">
        <v>763</v>
      </c>
      <c r="CC224" t="s">
        <v>76</v>
      </c>
      <c r="CD224">
        <v>1666</v>
      </c>
      <c r="CE224" t="s">
        <v>134</v>
      </c>
      <c r="CF224" s="3">
        <v>45995</v>
      </c>
      <c r="CI224">
        <v>1</v>
      </c>
      <c r="CJ224">
        <v>1</v>
      </c>
      <c r="CK224">
        <v>22</v>
      </c>
      <c r="CL224" t="s">
        <v>87</v>
      </c>
    </row>
    <row r="225" spans="1:90" x14ac:dyDescent="0.3">
      <c r="A225" t="s">
        <v>72</v>
      </c>
      <c r="B225" t="s">
        <v>73</v>
      </c>
      <c r="C225" t="s">
        <v>74</v>
      </c>
      <c r="E225" t="str">
        <f>"080069619183"</f>
        <v>080069619183</v>
      </c>
      <c r="F225" s="3">
        <v>45993</v>
      </c>
      <c r="G225">
        <v>202609</v>
      </c>
      <c r="H225" t="s">
        <v>75</v>
      </c>
      <c r="I225" t="s">
        <v>76</v>
      </c>
      <c r="J225" t="s">
        <v>77</v>
      </c>
      <c r="K225" t="s">
        <v>78</v>
      </c>
      <c r="L225" t="s">
        <v>75</v>
      </c>
      <c r="M225" t="s">
        <v>76</v>
      </c>
      <c r="N225" t="s">
        <v>764</v>
      </c>
      <c r="O225" t="s">
        <v>340</v>
      </c>
      <c r="P225" t="str">
        <f>"4170071461                    "</f>
        <v xml:space="preserve">4170071461                    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17.38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1</v>
      </c>
      <c r="BI225">
        <v>2.4</v>
      </c>
      <c r="BJ225">
        <v>3.1</v>
      </c>
      <c r="BK225">
        <v>4</v>
      </c>
      <c r="BL225">
        <v>56.87</v>
      </c>
      <c r="BM225">
        <v>8.5299999999999994</v>
      </c>
      <c r="BN225">
        <v>65.400000000000006</v>
      </c>
      <c r="BO225">
        <v>65.400000000000006</v>
      </c>
      <c r="BQ225" t="s">
        <v>765</v>
      </c>
      <c r="BR225" t="s">
        <v>82</v>
      </c>
      <c r="BS225" s="3">
        <v>45994</v>
      </c>
      <c r="BT225" s="4">
        <v>0.39652777777777776</v>
      </c>
      <c r="BU225" t="s">
        <v>766</v>
      </c>
      <c r="BV225" t="s">
        <v>84</v>
      </c>
      <c r="BY225">
        <v>15572.7</v>
      </c>
      <c r="CA225" t="s">
        <v>767</v>
      </c>
      <c r="CC225" t="s">
        <v>76</v>
      </c>
      <c r="CD225">
        <v>1609</v>
      </c>
      <c r="CE225" t="s">
        <v>86</v>
      </c>
      <c r="CF225" s="3">
        <v>45994</v>
      </c>
      <c r="CI225">
        <v>1</v>
      </c>
      <c r="CJ225">
        <v>1</v>
      </c>
      <c r="CK225">
        <v>32</v>
      </c>
      <c r="CL225" t="s">
        <v>87</v>
      </c>
    </row>
    <row r="226" spans="1:90" x14ac:dyDescent="0.3">
      <c r="A226" t="s">
        <v>72</v>
      </c>
      <c r="B226" t="s">
        <v>73</v>
      </c>
      <c r="C226" t="s">
        <v>74</v>
      </c>
      <c r="E226" t="str">
        <f>"080069619217"</f>
        <v>080069619217</v>
      </c>
      <c r="F226" s="3">
        <v>45993</v>
      </c>
      <c r="G226">
        <v>202609</v>
      </c>
      <c r="H226" t="s">
        <v>75</v>
      </c>
      <c r="I226" t="s">
        <v>76</v>
      </c>
      <c r="J226" t="s">
        <v>77</v>
      </c>
      <c r="K226" t="s">
        <v>78</v>
      </c>
      <c r="L226" t="s">
        <v>612</v>
      </c>
      <c r="M226" t="s">
        <v>613</v>
      </c>
      <c r="N226" t="s">
        <v>614</v>
      </c>
      <c r="O226" t="s">
        <v>89</v>
      </c>
      <c r="P226" t="str">
        <f>"4170071439                    "</f>
        <v xml:space="preserve">4170071439                    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82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1</v>
      </c>
      <c r="BI226">
        <v>4</v>
      </c>
      <c r="BJ226">
        <v>1.4</v>
      </c>
      <c r="BK226">
        <v>4</v>
      </c>
      <c r="BL226">
        <v>268.37</v>
      </c>
      <c r="BM226">
        <v>40.26</v>
      </c>
      <c r="BN226">
        <v>308.63</v>
      </c>
      <c r="BO226">
        <v>308.63</v>
      </c>
      <c r="BQ226" t="s">
        <v>615</v>
      </c>
      <c r="BR226" t="s">
        <v>82</v>
      </c>
      <c r="BS226" s="3">
        <v>45994</v>
      </c>
      <c r="BT226" s="4">
        <v>0.52986111111111112</v>
      </c>
      <c r="BU226" t="s">
        <v>616</v>
      </c>
      <c r="BV226" t="s">
        <v>84</v>
      </c>
      <c r="BY226">
        <v>7000</v>
      </c>
      <c r="CA226" t="s">
        <v>617</v>
      </c>
      <c r="CC226" t="s">
        <v>613</v>
      </c>
      <c r="CD226">
        <v>6850</v>
      </c>
      <c r="CE226" t="s">
        <v>86</v>
      </c>
      <c r="CF226" s="3">
        <v>45995</v>
      </c>
      <c r="CI226">
        <v>2</v>
      </c>
      <c r="CJ226">
        <v>1</v>
      </c>
      <c r="CK226">
        <v>23</v>
      </c>
      <c r="CL226" t="s">
        <v>87</v>
      </c>
    </row>
    <row r="227" spans="1:90" x14ac:dyDescent="0.3">
      <c r="A227" t="s">
        <v>72</v>
      </c>
      <c r="B227" t="s">
        <v>73</v>
      </c>
      <c r="C227" t="s">
        <v>74</v>
      </c>
      <c r="E227" t="str">
        <f>"080069619556"</f>
        <v>080069619556</v>
      </c>
      <c r="F227" s="3">
        <v>45993</v>
      </c>
      <c r="G227">
        <v>202609</v>
      </c>
      <c r="H227" t="s">
        <v>75</v>
      </c>
      <c r="I227" t="s">
        <v>76</v>
      </c>
      <c r="J227" t="s">
        <v>77</v>
      </c>
      <c r="K227" t="s">
        <v>78</v>
      </c>
      <c r="L227" t="s">
        <v>156</v>
      </c>
      <c r="M227" t="s">
        <v>157</v>
      </c>
      <c r="N227" t="s">
        <v>470</v>
      </c>
      <c r="O227" t="s">
        <v>89</v>
      </c>
      <c r="P227" t="str">
        <f>"4170071467                    "</f>
        <v xml:space="preserve">4170071467                    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22.24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1</v>
      </c>
      <c r="BI227">
        <v>2</v>
      </c>
      <c r="BJ227">
        <v>1.5</v>
      </c>
      <c r="BK227">
        <v>2</v>
      </c>
      <c r="BL227">
        <v>72.78</v>
      </c>
      <c r="BM227">
        <v>10.92</v>
      </c>
      <c r="BN227">
        <v>83.7</v>
      </c>
      <c r="BO227">
        <v>83.7</v>
      </c>
      <c r="BQ227" t="s">
        <v>471</v>
      </c>
      <c r="BR227" t="s">
        <v>82</v>
      </c>
      <c r="BS227" s="3">
        <v>45994</v>
      </c>
      <c r="BT227" s="4">
        <v>0.41111111111111109</v>
      </c>
      <c r="BU227" t="s">
        <v>768</v>
      </c>
      <c r="BV227" t="s">
        <v>84</v>
      </c>
      <c r="BY227">
        <v>7500</v>
      </c>
      <c r="CA227" t="s">
        <v>473</v>
      </c>
      <c r="CC227" t="s">
        <v>157</v>
      </c>
      <c r="CD227">
        <v>7480</v>
      </c>
      <c r="CE227" t="s">
        <v>86</v>
      </c>
      <c r="CF227" s="3">
        <v>45995</v>
      </c>
      <c r="CI227">
        <v>1</v>
      </c>
      <c r="CJ227">
        <v>1</v>
      </c>
      <c r="CK227">
        <v>21</v>
      </c>
      <c r="CL227" t="s">
        <v>87</v>
      </c>
    </row>
    <row r="228" spans="1:90" x14ac:dyDescent="0.3">
      <c r="A228" t="s">
        <v>72</v>
      </c>
      <c r="B228" t="s">
        <v>73</v>
      </c>
      <c r="C228" t="s">
        <v>74</v>
      </c>
      <c r="E228" t="str">
        <f>"080069619592"</f>
        <v>080069619592</v>
      </c>
      <c r="F228" s="3">
        <v>45993</v>
      </c>
      <c r="G228">
        <v>202609</v>
      </c>
      <c r="H228" t="s">
        <v>75</v>
      </c>
      <c r="I228" t="s">
        <v>76</v>
      </c>
      <c r="J228" t="s">
        <v>77</v>
      </c>
      <c r="K228" t="s">
        <v>78</v>
      </c>
      <c r="L228" t="s">
        <v>302</v>
      </c>
      <c r="M228" t="s">
        <v>303</v>
      </c>
      <c r="N228" t="s">
        <v>769</v>
      </c>
      <c r="O228" t="s">
        <v>89</v>
      </c>
      <c r="P228" t="str">
        <f>"4170071460                    "</f>
        <v xml:space="preserve">4170071460                    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22.24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1</v>
      </c>
      <c r="BI228">
        <v>1.9</v>
      </c>
      <c r="BJ228">
        <v>1.3</v>
      </c>
      <c r="BK228">
        <v>2</v>
      </c>
      <c r="BL228">
        <v>72.78</v>
      </c>
      <c r="BM228">
        <v>10.92</v>
      </c>
      <c r="BN228">
        <v>83.7</v>
      </c>
      <c r="BO228">
        <v>83.7</v>
      </c>
      <c r="BQ228" t="s">
        <v>770</v>
      </c>
      <c r="BR228" t="s">
        <v>82</v>
      </c>
      <c r="BS228" s="3">
        <v>45994</v>
      </c>
      <c r="BT228" s="4">
        <v>0.41875000000000001</v>
      </c>
      <c r="BU228" t="s">
        <v>771</v>
      </c>
      <c r="BV228" t="s">
        <v>84</v>
      </c>
      <c r="BY228">
        <v>6483.18</v>
      </c>
      <c r="CA228">
        <v>9103185460089</v>
      </c>
      <c r="CC228" t="s">
        <v>303</v>
      </c>
      <c r="CD228" s="5" t="s">
        <v>350</v>
      </c>
      <c r="CE228" t="s">
        <v>86</v>
      </c>
      <c r="CF228" s="3">
        <v>45994</v>
      </c>
      <c r="CI228">
        <v>1</v>
      </c>
      <c r="CJ228">
        <v>1</v>
      </c>
      <c r="CK228">
        <v>21</v>
      </c>
      <c r="CL228" t="s">
        <v>87</v>
      </c>
    </row>
    <row r="229" spans="1:90" x14ac:dyDescent="0.3">
      <c r="A229" t="s">
        <v>72</v>
      </c>
      <c r="B229" t="s">
        <v>73</v>
      </c>
      <c r="C229" t="s">
        <v>74</v>
      </c>
      <c r="E229" t="str">
        <f>"080069619622"</f>
        <v>080069619622</v>
      </c>
      <c r="F229" s="3">
        <v>45993</v>
      </c>
      <c r="G229">
        <v>202609</v>
      </c>
      <c r="H229" t="s">
        <v>75</v>
      </c>
      <c r="I229" t="s">
        <v>76</v>
      </c>
      <c r="J229" t="s">
        <v>77</v>
      </c>
      <c r="K229" t="s">
        <v>78</v>
      </c>
      <c r="L229" t="s">
        <v>535</v>
      </c>
      <c r="M229" t="s">
        <v>535</v>
      </c>
      <c r="N229" t="s">
        <v>772</v>
      </c>
      <c r="O229" t="s">
        <v>89</v>
      </c>
      <c r="P229" t="str">
        <f>"4170071462                    "</f>
        <v xml:space="preserve">4170071462                    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43.09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1</v>
      </c>
      <c r="BI229">
        <v>1</v>
      </c>
      <c r="BJ229">
        <v>1.4</v>
      </c>
      <c r="BK229">
        <v>1.5</v>
      </c>
      <c r="BL229">
        <v>141.02000000000001</v>
      </c>
      <c r="BM229">
        <v>21.15</v>
      </c>
      <c r="BN229">
        <v>162.16999999999999</v>
      </c>
      <c r="BO229">
        <v>162.16999999999999</v>
      </c>
      <c r="BQ229" t="s">
        <v>773</v>
      </c>
      <c r="BR229" t="s">
        <v>82</v>
      </c>
      <c r="BS229" s="3">
        <v>45994</v>
      </c>
      <c r="BT229" s="4">
        <v>0.80069444444444449</v>
      </c>
      <c r="BU229" t="s">
        <v>774</v>
      </c>
      <c r="BV229" t="s">
        <v>87</v>
      </c>
      <c r="BW229" t="s">
        <v>153</v>
      </c>
      <c r="BX229" t="s">
        <v>345</v>
      </c>
      <c r="BY229">
        <v>7000</v>
      </c>
      <c r="CA229" t="s">
        <v>539</v>
      </c>
      <c r="CC229" t="s">
        <v>535</v>
      </c>
      <c r="CD229">
        <v>7646</v>
      </c>
      <c r="CE229" t="s">
        <v>86</v>
      </c>
      <c r="CF229" s="3">
        <v>45995</v>
      </c>
      <c r="CI229">
        <v>1</v>
      </c>
      <c r="CJ229">
        <v>1</v>
      </c>
      <c r="CK229">
        <v>23</v>
      </c>
      <c r="CL229" t="s">
        <v>87</v>
      </c>
    </row>
    <row r="230" spans="1:90" x14ac:dyDescent="0.3">
      <c r="A230" t="s">
        <v>72</v>
      </c>
      <c r="B230" t="s">
        <v>73</v>
      </c>
      <c r="C230" t="s">
        <v>74</v>
      </c>
      <c r="E230" t="str">
        <f>"080069619663"</f>
        <v>080069619663</v>
      </c>
      <c r="F230" s="3">
        <v>45993</v>
      </c>
      <c r="G230">
        <v>202609</v>
      </c>
      <c r="H230" t="s">
        <v>75</v>
      </c>
      <c r="I230" t="s">
        <v>76</v>
      </c>
      <c r="J230" t="s">
        <v>77</v>
      </c>
      <c r="K230" t="s">
        <v>78</v>
      </c>
      <c r="L230" t="s">
        <v>109</v>
      </c>
      <c r="M230" t="s">
        <v>110</v>
      </c>
      <c r="N230" t="s">
        <v>511</v>
      </c>
      <c r="O230" t="s">
        <v>89</v>
      </c>
      <c r="P230" t="str">
        <f>"4170071468                    "</f>
        <v xml:space="preserve">4170071468                    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31.28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1</v>
      </c>
      <c r="BI230">
        <v>2</v>
      </c>
      <c r="BJ230">
        <v>1.1000000000000001</v>
      </c>
      <c r="BK230">
        <v>2</v>
      </c>
      <c r="BL230">
        <v>102.36</v>
      </c>
      <c r="BM230">
        <v>15.35</v>
      </c>
      <c r="BN230">
        <v>117.71</v>
      </c>
      <c r="BO230">
        <v>117.71</v>
      </c>
      <c r="BQ230" t="s">
        <v>512</v>
      </c>
      <c r="BR230" t="s">
        <v>82</v>
      </c>
      <c r="BS230" s="3">
        <v>45994</v>
      </c>
      <c r="BT230" s="4">
        <v>0.55347222222222225</v>
      </c>
      <c r="BU230" t="s">
        <v>775</v>
      </c>
      <c r="BV230" t="s">
        <v>87</v>
      </c>
      <c r="BW230" t="s">
        <v>174</v>
      </c>
      <c r="BX230" t="s">
        <v>640</v>
      </c>
      <c r="BY230">
        <v>5510</v>
      </c>
      <c r="CA230" t="s">
        <v>641</v>
      </c>
      <c r="CC230" t="s">
        <v>110</v>
      </c>
      <c r="CD230">
        <v>1748</v>
      </c>
      <c r="CE230" t="s">
        <v>86</v>
      </c>
      <c r="CF230" s="3">
        <v>45995</v>
      </c>
      <c r="CI230">
        <v>1</v>
      </c>
      <c r="CJ230">
        <v>1</v>
      </c>
      <c r="CK230">
        <v>24</v>
      </c>
      <c r="CL230" t="s">
        <v>87</v>
      </c>
    </row>
    <row r="231" spans="1:90" x14ac:dyDescent="0.3">
      <c r="A231" t="s">
        <v>72</v>
      </c>
      <c r="B231" t="s">
        <v>73</v>
      </c>
      <c r="C231" t="s">
        <v>74</v>
      </c>
      <c r="E231" t="str">
        <f>"080069619693"</f>
        <v>080069619693</v>
      </c>
      <c r="F231" s="3">
        <v>45993</v>
      </c>
      <c r="G231">
        <v>202609</v>
      </c>
      <c r="H231" t="s">
        <v>75</v>
      </c>
      <c r="I231" t="s">
        <v>76</v>
      </c>
      <c r="J231" t="s">
        <v>77</v>
      </c>
      <c r="K231" t="s">
        <v>78</v>
      </c>
      <c r="L231" t="s">
        <v>528</v>
      </c>
      <c r="M231" t="s">
        <v>529</v>
      </c>
      <c r="N231" t="s">
        <v>530</v>
      </c>
      <c r="O231" t="s">
        <v>89</v>
      </c>
      <c r="P231" t="str">
        <f>"4170071415                    "</f>
        <v xml:space="preserve">4170071415                    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43.09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17.41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1</v>
      </c>
      <c r="BI231">
        <v>1</v>
      </c>
      <c r="BJ231">
        <v>0.9</v>
      </c>
      <c r="BK231">
        <v>1</v>
      </c>
      <c r="BL231">
        <v>158.43</v>
      </c>
      <c r="BM231">
        <v>23.76</v>
      </c>
      <c r="BN231">
        <v>182.19</v>
      </c>
      <c r="BO231">
        <v>182.19</v>
      </c>
      <c r="BQ231" t="s">
        <v>531</v>
      </c>
      <c r="BR231" t="s">
        <v>82</v>
      </c>
      <c r="BS231" s="3">
        <v>45994</v>
      </c>
      <c r="BT231" s="4">
        <v>0.63194444444444442</v>
      </c>
      <c r="BU231" t="s">
        <v>776</v>
      </c>
      <c r="BV231" t="s">
        <v>84</v>
      </c>
      <c r="BY231">
        <v>4376.6499999999996</v>
      </c>
      <c r="BZ231" t="s">
        <v>30</v>
      </c>
      <c r="CC231" t="s">
        <v>529</v>
      </c>
      <c r="CD231" s="5" t="s">
        <v>534</v>
      </c>
      <c r="CE231" t="s">
        <v>86</v>
      </c>
      <c r="CF231" s="3">
        <v>45995</v>
      </c>
      <c r="CI231">
        <v>1</v>
      </c>
      <c r="CJ231">
        <v>1</v>
      </c>
      <c r="CK231">
        <v>23</v>
      </c>
      <c r="CL231" t="s">
        <v>87</v>
      </c>
    </row>
    <row r="232" spans="1:90" x14ac:dyDescent="0.3">
      <c r="A232" t="s">
        <v>72</v>
      </c>
      <c r="B232" t="s">
        <v>73</v>
      </c>
      <c r="C232" t="s">
        <v>74</v>
      </c>
      <c r="E232" t="str">
        <f>"080069619729"</f>
        <v>080069619729</v>
      </c>
      <c r="F232" s="3">
        <v>45993</v>
      </c>
      <c r="G232">
        <v>202609</v>
      </c>
      <c r="H232" t="s">
        <v>75</v>
      </c>
      <c r="I232" t="s">
        <v>76</v>
      </c>
      <c r="J232" t="s">
        <v>77</v>
      </c>
      <c r="K232" t="s">
        <v>78</v>
      </c>
      <c r="L232" t="s">
        <v>265</v>
      </c>
      <c r="M232" t="s">
        <v>266</v>
      </c>
      <c r="N232" t="s">
        <v>474</v>
      </c>
      <c r="O232" t="s">
        <v>89</v>
      </c>
      <c r="P232" t="str">
        <f>"4170071424                    "</f>
        <v xml:space="preserve">4170071424                    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17.37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1</v>
      </c>
      <c r="BI232">
        <v>1</v>
      </c>
      <c r="BJ232">
        <v>0.2</v>
      </c>
      <c r="BK232">
        <v>1</v>
      </c>
      <c r="BL232">
        <v>56.85</v>
      </c>
      <c r="BM232">
        <v>8.5299999999999994</v>
      </c>
      <c r="BN232">
        <v>65.38</v>
      </c>
      <c r="BO232">
        <v>65.38</v>
      </c>
      <c r="BQ232" t="s">
        <v>475</v>
      </c>
      <c r="BR232" t="s">
        <v>82</v>
      </c>
      <c r="BS232" s="3">
        <v>45994</v>
      </c>
      <c r="BT232" s="4">
        <v>0.38194444444444442</v>
      </c>
      <c r="BU232" t="s">
        <v>723</v>
      </c>
      <c r="BV232" t="s">
        <v>84</v>
      </c>
      <c r="BY232">
        <v>1200</v>
      </c>
      <c r="CA232" t="s">
        <v>417</v>
      </c>
      <c r="CC232" t="s">
        <v>266</v>
      </c>
      <c r="CD232">
        <v>1459</v>
      </c>
      <c r="CE232" t="s">
        <v>134</v>
      </c>
      <c r="CF232" s="3">
        <v>45994</v>
      </c>
      <c r="CI232">
        <v>1</v>
      </c>
      <c r="CJ232">
        <v>1</v>
      </c>
      <c r="CK232">
        <v>22</v>
      </c>
      <c r="CL232" t="s">
        <v>87</v>
      </c>
    </row>
    <row r="233" spans="1:90" x14ac:dyDescent="0.3">
      <c r="A233" t="s">
        <v>72</v>
      </c>
      <c r="B233" t="s">
        <v>73</v>
      </c>
      <c r="C233" t="s">
        <v>74</v>
      </c>
      <c r="E233" t="str">
        <f>"080069620030"</f>
        <v>080069620030</v>
      </c>
      <c r="F233" s="3">
        <v>45993</v>
      </c>
      <c r="G233">
        <v>202609</v>
      </c>
      <c r="H233" t="s">
        <v>75</v>
      </c>
      <c r="I233" t="s">
        <v>76</v>
      </c>
      <c r="J233" t="s">
        <v>77</v>
      </c>
      <c r="K233" t="s">
        <v>78</v>
      </c>
      <c r="L233" t="s">
        <v>141</v>
      </c>
      <c r="M233" t="s">
        <v>142</v>
      </c>
      <c r="N233" t="s">
        <v>379</v>
      </c>
      <c r="O233" t="s">
        <v>89</v>
      </c>
      <c r="P233" t="str">
        <f>"4170071480                    "</f>
        <v xml:space="preserve">4170071480                    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22.24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1</v>
      </c>
      <c r="BI233">
        <v>1</v>
      </c>
      <c r="BJ233">
        <v>0.2</v>
      </c>
      <c r="BK233">
        <v>1</v>
      </c>
      <c r="BL233">
        <v>72.78</v>
      </c>
      <c r="BM233">
        <v>10.92</v>
      </c>
      <c r="BN233">
        <v>83.7</v>
      </c>
      <c r="BO233">
        <v>83.7</v>
      </c>
      <c r="BQ233" t="s">
        <v>380</v>
      </c>
      <c r="BR233" t="s">
        <v>82</v>
      </c>
      <c r="BS233" s="3">
        <v>45994</v>
      </c>
      <c r="BT233" s="4">
        <v>0.43194444444444446</v>
      </c>
      <c r="BU233" t="s">
        <v>381</v>
      </c>
      <c r="BV233" t="s">
        <v>84</v>
      </c>
      <c r="BY233">
        <v>1200</v>
      </c>
      <c r="CA233" t="s">
        <v>382</v>
      </c>
      <c r="CC233" t="s">
        <v>142</v>
      </c>
      <c r="CD233">
        <v>6001</v>
      </c>
      <c r="CE233" t="s">
        <v>134</v>
      </c>
      <c r="CF233" s="3">
        <v>45994</v>
      </c>
      <c r="CI233">
        <v>1</v>
      </c>
      <c r="CJ233">
        <v>1</v>
      </c>
      <c r="CK233">
        <v>21</v>
      </c>
      <c r="CL233" t="s">
        <v>87</v>
      </c>
    </row>
    <row r="234" spans="1:90" x14ac:dyDescent="0.3">
      <c r="A234" t="s">
        <v>72</v>
      </c>
      <c r="B234" t="s">
        <v>73</v>
      </c>
      <c r="C234" t="s">
        <v>74</v>
      </c>
      <c r="E234" t="str">
        <f>"080069620069"</f>
        <v>080069620069</v>
      </c>
      <c r="F234" s="3">
        <v>45993</v>
      </c>
      <c r="G234">
        <v>202609</v>
      </c>
      <c r="H234" t="s">
        <v>75</v>
      </c>
      <c r="I234" t="s">
        <v>76</v>
      </c>
      <c r="J234" t="s">
        <v>77</v>
      </c>
      <c r="K234" t="s">
        <v>78</v>
      </c>
      <c r="L234" t="s">
        <v>148</v>
      </c>
      <c r="M234" t="s">
        <v>149</v>
      </c>
      <c r="N234" t="s">
        <v>150</v>
      </c>
      <c r="O234" t="s">
        <v>89</v>
      </c>
      <c r="P234" t="str">
        <f>"4170071464                    "</f>
        <v xml:space="preserve">4170071464                    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43.09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1</v>
      </c>
      <c r="BI234">
        <v>1</v>
      </c>
      <c r="BJ234">
        <v>1.1000000000000001</v>
      </c>
      <c r="BK234">
        <v>1.5</v>
      </c>
      <c r="BL234">
        <v>141.02000000000001</v>
      </c>
      <c r="BM234">
        <v>21.15</v>
      </c>
      <c r="BN234">
        <v>162.16999999999999</v>
      </c>
      <c r="BO234">
        <v>162.16999999999999</v>
      </c>
      <c r="BQ234" t="s">
        <v>151</v>
      </c>
      <c r="BR234" t="s">
        <v>82</v>
      </c>
      <c r="BS234" s="3">
        <v>45994</v>
      </c>
      <c r="BT234" s="4">
        <v>0.49722222222222223</v>
      </c>
      <c r="BU234" t="s">
        <v>152</v>
      </c>
      <c r="BV234" t="s">
        <v>84</v>
      </c>
      <c r="BY234">
        <v>5510</v>
      </c>
      <c r="CA234" t="s">
        <v>155</v>
      </c>
      <c r="CC234" t="s">
        <v>149</v>
      </c>
      <c r="CD234">
        <v>7300</v>
      </c>
      <c r="CE234" t="s">
        <v>86</v>
      </c>
      <c r="CF234" s="3">
        <v>45995</v>
      </c>
      <c r="CI234">
        <v>1</v>
      </c>
      <c r="CJ234">
        <v>1</v>
      </c>
      <c r="CK234">
        <v>23</v>
      </c>
      <c r="CL234" t="s">
        <v>87</v>
      </c>
    </row>
    <row r="235" spans="1:90" x14ac:dyDescent="0.3">
      <c r="A235" t="s">
        <v>72</v>
      </c>
      <c r="B235" t="s">
        <v>73</v>
      </c>
      <c r="C235" t="s">
        <v>74</v>
      </c>
      <c r="E235" t="str">
        <f>"080069620072"</f>
        <v>080069620072</v>
      </c>
      <c r="F235" s="3">
        <v>45993</v>
      </c>
      <c r="G235">
        <v>202609</v>
      </c>
      <c r="H235" t="s">
        <v>75</v>
      </c>
      <c r="I235" t="s">
        <v>76</v>
      </c>
      <c r="J235" t="s">
        <v>77</v>
      </c>
      <c r="K235" t="s">
        <v>78</v>
      </c>
      <c r="L235" t="s">
        <v>141</v>
      </c>
      <c r="M235" t="s">
        <v>142</v>
      </c>
      <c r="N235" t="s">
        <v>587</v>
      </c>
      <c r="O235" t="s">
        <v>89</v>
      </c>
      <c r="P235" t="str">
        <f>"4170071405                    "</f>
        <v xml:space="preserve">4170071405                    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0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22.24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1</v>
      </c>
      <c r="BI235">
        <v>1</v>
      </c>
      <c r="BJ235">
        <v>0.2</v>
      </c>
      <c r="BK235">
        <v>1</v>
      </c>
      <c r="BL235">
        <v>72.78</v>
      </c>
      <c r="BM235">
        <v>10.92</v>
      </c>
      <c r="BN235">
        <v>83.7</v>
      </c>
      <c r="BO235">
        <v>83.7</v>
      </c>
      <c r="BQ235" t="s">
        <v>588</v>
      </c>
      <c r="BR235" t="s">
        <v>82</v>
      </c>
      <c r="BS235" s="3">
        <v>45994</v>
      </c>
      <c r="BT235" s="4">
        <v>0.42222222222222222</v>
      </c>
      <c r="BU235" t="s">
        <v>611</v>
      </c>
      <c r="BV235" t="s">
        <v>84</v>
      </c>
      <c r="BY235">
        <v>1200</v>
      </c>
      <c r="CA235" t="s">
        <v>571</v>
      </c>
      <c r="CC235" t="s">
        <v>142</v>
      </c>
      <c r="CD235">
        <v>6001</v>
      </c>
      <c r="CE235" t="s">
        <v>134</v>
      </c>
      <c r="CF235" s="3">
        <v>45994</v>
      </c>
      <c r="CI235">
        <v>1</v>
      </c>
      <c r="CJ235">
        <v>1</v>
      </c>
      <c r="CK235">
        <v>21</v>
      </c>
      <c r="CL235" t="s">
        <v>87</v>
      </c>
    </row>
    <row r="236" spans="1:90" x14ac:dyDescent="0.3">
      <c r="A236" t="s">
        <v>72</v>
      </c>
      <c r="B236" t="s">
        <v>73</v>
      </c>
      <c r="C236" t="s">
        <v>74</v>
      </c>
      <c r="E236" t="str">
        <f>"080069620135"</f>
        <v>080069620135</v>
      </c>
      <c r="F236" s="3">
        <v>45993</v>
      </c>
      <c r="G236">
        <v>202609</v>
      </c>
      <c r="H236" t="s">
        <v>75</v>
      </c>
      <c r="I236" t="s">
        <v>76</v>
      </c>
      <c r="J236" t="s">
        <v>77</v>
      </c>
      <c r="K236" t="s">
        <v>78</v>
      </c>
      <c r="L236" t="s">
        <v>100</v>
      </c>
      <c r="M236" t="s">
        <v>101</v>
      </c>
      <c r="N236" t="s">
        <v>777</v>
      </c>
      <c r="O236" t="s">
        <v>89</v>
      </c>
      <c r="P236" t="str">
        <f>"4170071451                    "</f>
        <v xml:space="preserve">4170071451                    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22.24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1</v>
      </c>
      <c r="BI236">
        <v>1</v>
      </c>
      <c r="BJ236">
        <v>0.2</v>
      </c>
      <c r="BK236">
        <v>1</v>
      </c>
      <c r="BL236">
        <v>72.78</v>
      </c>
      <c r="BM236">
        <v>10.92</v>
      </c>
      <c r="BN236">
        <v>83.7</v>
      </c>
      <c r="BO236">
        <v>83.7</v>
      </c>
      <c r="BQ236" t="s">
        <v>778</v>
      </c>
      <c r="BR236" t="s">
        <v>82</v>
      </c>
      <c r="BS236" s="3">
        <v>45994</v>
      </c>
      <c r="BT236" s="4">
        <v>0.57499999999999996</v>
      </c>
      <c r="BU236" t="s">
        <v>779</v>
      </c>
      <c r="BV236" t="s">
        <v>87</v>
      </c>
      <c r="BW236" t="s">
        <v>186</v>
      </c>
      <c r="BX236" t="s">
        <v>780</v>
      </c>
      <c r="BY236">
        <v>1200</v>
      </c>
      <c r="CA236" t="s">
        <v>630</v>
      </c>
      <c r="CC236" t="s">
        <v>101</v>
      </c>
      <c r="CD236">
        <v>4052</v>
      </c>
      <c r="CE236" t="s">
        <v>134</v>
      </c>
      <c r="CF236" s="3">
        <v>45995</v>
      </c>
      <c r="CI236">
        <v>1</v>
      </c>
      <c r="CJ236">
        <v>1</v>
      </c>
      <c r="CK236">
        <v>21</v>
      </c>
      <c r="CL236" t="s">
        <v>87</v>
      </c>
    </row>
    <row r="237" spans="1:90" x14ac:dyDescent="0.3">
      <c r="A237" t="s">
        <v>72</v>
      </c>
      <c r="B237" t="s">
        <v>73</v>
      </c>
      <c r="C237" t="s">
        <v>74</v>
      </c>
      <c r="E237" t="str">
        <f>"080069620143"</f>
        <v>080069620143</v>
      </c>
      <c r="F237" s="3">
        <v>45993</v>
      </c>
      <c r="G237">
        <v>202609</v>
      </c>
      <c r="H237" t="s">
        <v>75</v>
      </c>
      <c r="I237" t="s">
        <v>76</v>
      </c>
      <c r="J237" t="s">
        <v>77</v>
      </c>
      <c r="K237" t="s">
        <v>78</v>
      </c>
      <c r="L237" t="s">
        <v>781</v>
      </c>
      <c r="M237" t="s">
        <v>782</v>
      </c>
      <c r="N237" t="s">
        <v>783</v>
      </c>
      <c r="O237" t="s">
        <v>89</v>
      </c>
      <c r="P237" t="str">
        <f>"4170071457                    "</f>
        <v xml:space="preserve">4170071457                    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55.58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17.41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1</v>
      </c>
      <c r="BI237">
        <v>5</v>
      </c>
      <c r="BJ237">
        <v>2.1</v>
      </c>
      <c r="BK237">
        <v>5</v>
      </c>
      <c r="BL237">
        <v>199.31</v>
      </c>
      <c r="BM237">
        <v>29.9</v>
      </c>
      <c r="BN237">
        <v>229.21</v>
      </c>
      <c r="BO237">
        <v>229.21</v>
      </c>
      <c r="BQ237" t="s">
        <v>784</v>
      </c>
      <c r="BR237" t="s">
        <v>82</v>
      </c>
      <c r="BS237" s="3">
        <v>45996</v>
      </c>
      <c r="BT237" s="4">
        <v>0.50624999999999998</v>
      </c>
      <c r="BU237" t="s">
        <v>785</v>
      </c>
      <c r="BV237" t="s">
        <v>87</v>
      </c>
      <c r="BW237" t="s">
        <v>246</v>
      </c>
      <c r="BX237" t="s">
        <v>294</v>
      </c>
      <c r="BY237">
        <v>10260</v>
      </c>
      <c r="BZ237" t="s">
        <v>30</v>
      </c>
      <c r="CA237" t="s">
        <v>630</v>
      </c>
      <c r="CC237" t="s">
        <v>782</v>
      </c>
      <c r="CD237">
        <v>4133</v>
      </c>
      <c r="CE237" t="s">
        <v>86</v>
      </c>
      <c r="CF237" s="3">
        <v>45997</v>
      </c>
      <c r="CI237">
        <v>1</v>
      </c>
      <c r="CJ237">
        <v>3</v>
      </c>
      <c r="CK237">
        <v>21</v>
      </c>
      <c r="CL237" t="s">
        <v>87</v>
      </c>
    </row>
    <row r="238" spans="1:90" x14ac:dyDescent="0.3">
      <c r="A238" t="s">
        <v>72</v>
      </c>
      <c r="B238" t="s">
        <v>73</v>
      </c>
      <c r="C238" t="s">
        <v>74</v>
      </c>
      <c r="E238" t="str">
        <f>"080069620209"</f>
        <v>080069620209</v>
      </c>
      <c r="F238" s="3">
        <v>45993</v>
      </c>
      <c r="G238">
        <v>202609</v>
      </c>
      <c r="H238" t="s">
        <v>75</v>
      </c>
      <c r="I238" t="s">
        <v>76</v>
      </c>
      <c r="J238" t="s">
        <v>77</v>
      </c>
      <c r="K238" t="s">
        <v>78</v>
      </c>
      <c r="L238" t="s">
        <v>302</v>
      </c>
      <c r="M238" t="s">
        <v>303</v>
      </c>
      <c r="N238" t="s">
        <v>786</v>
      </c>
      <c r="O238" t="s">
        <v>89</v>
      </c>
      <c r="P238" t="str">
        <f>"4170071429                    "</f>
        <v xml:space="preserve">4170071429                    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0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22.24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1</v>
      </c>
      <c r="BI238">
        <v>1.1000000000000001</v>
      </c>
      <c r="BJ238">
        <v>0.9</v>
      </c>
      <c r="BK238">
        <v>1.5</v>
      </c>
      <c r="BL238">
        <v>72.78</v>
      </c>
      <c r="BM238">
        <v>10.92</v>
      </c>
      <c r="BN238">
        <v>83.7</v>
      </c>
      <c r="BO238">
        <v>83.7</v>
      </c>
      <c r="BQ238" t="s">
        <v>787</v>
      </c>
      <c r="BR238" t="s">
        <v>82</v>
      </c>
      <c r="BS238" s="3">
        <v>45994</v>
      </c>
      <c r="BT238" s="4">
        <v>0.39791666666666664</v>
      </c>
      <c r="BU238" t="s">
        <v>788</v>
      </c>
      <c r="BV238" t="s">
        <v>84</v>
      </c>
      <c r="BY238">
        <v>4382.16</v>
      </c>
      <c r="CA238">
        <v>8303236124087</v>
      </c>
      <c r="CC238" t="s">
        <v>303</v>
      </c>
      <c r="CD238" s="5" t="s">
        <v>307</v>
      </c>
      <c r="CE238" t="s">
        <v>86</v>
      </c>
      <c r="CF238" s="3">
        <v>45994</v>
      </c>
      <c r="CI238">
        <v>1</v>
      </c>
      <c r="CJ238">
        <v>1</v>
      </c>
      <c r="CK238">
        <v>21</v>
      </c>
      <c r="CL238" t="s">
        <v>87</v>
      </c>
    </row>
    <row r="239" spans="1:90" x14ac:dyDescent="0.3">
      <c r="A239" t="s">
        <v>72</v>
      </c>
      <c r="B239" t="s">
        <v>73</v>
      </c>
      <c r="C239" t="s">
        <v>74</v>
      </c>
      <c r="E239" t="str">
        <f>"080069620497"</f>
        <v>080069620497</v>
      </c>
      <c r="F239" s="3">
        <v>45993</v>
      </c>
      <c r="G239">
        <v>202609</v>
      </c>
      <c r="H239" t="s">
        <v>75</v>
      </c>
      <c r="I239" t="s">
        <v>76</v>
      </c>
      <c r="J239" t="s">
        <v>77</v>
      </c>
      <c r="K239" t="s">
        <v>78</v>
      </c>
      <c r="L239" t="s">
        <v>208</v>
      </c>
      <c r="M239" t="s">
        <v>209</v>
      </c>
      <c r="N239" t="s">
        <v>210</v>
      </c>
      <c r="O239" t="s">
        <v>80</v>
      </c>
      <c r="P239" t="str">
        <f>"4170071478                    "</f>
        <v xml:space="preserve">4170071478                    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55.45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1</v>
      </c>
      <c r="BI239">
        <v>21.8</v>
      </c>
      <c r="BJ239">
        <v>17.600000000000001</v>
      </c>
      <c r="BK239">
        <v>22</v>
      </c>
      <c r="BL239">
        <v>187.57</v>
      </c>
      <c r="BM239">
        <v>28.14</v>
      </c>
      <c r="BN239">
        <v>215.71</v>
      </c>
      <c r="BO239">
        <v>215.71</v>
      </c>
      <c r="BQ239" t="s">
        <v>211</v>
      </c>
      <c r="BR239" t="s">
        <v>82</v>
      </c>
      <c r="BS239" s="3">
        <v>45994</v>
      </c>
      <c r="BT239" s="4">
        <v>0.36527777777777776</v>
      </c>
      <c r="BU239" t="s">
        <v>260</v>
      </c>
      <c r="BV239" t="s">
        <v>84</v>
      </c>
      <c r="BY239">
        <v>88201.33</v>
      </c>
      <c r="CA239">
        <v>7712195338085</v>
      </c>
      <c r="CC239" t="s">
        <v>209</v>
      </c>
      <c r="CD239" s="5" t="s">
        <v>213</v>
      </c>
      <c r="CE239" t="s">
        <v>86</v>
      </c>
      <c r="CF239" s="3">
        <v>45994</v>
      </c>
      <c r="CI239">
        <v>1</v>
      </c>
      <c r="CJ239">
        <v>1</v>
      </c>
      <c r="CK239">
        <v>41</v>
      </c>
      <c r="CL239" t="s">
        <v>87</v>
      </c>
    </row>
    <row r="240" spans="1:90" x14ac:dyDescent="0.3">
      <c r="A240" t="s">
        <v>72</v>
      </c>
      <c r="B240" t="s">
        <v>73</v>
      </c>
      <c r="C240" t="s">
        <v>74</v>
      </c>
      <c r="E240" t="str">
        <f>"080069620559"</f>
        <v>080069620559</v>
      </c>
      <c r="F240" s="3">
        <v>45993</v>
      </c>
      <c r="G240">
        <v>202609</v>
      </c>
      <c r="H240" t="s">
        <v>75</v>
      </c>
      <c r="I240" t="s">
        <v>76</v>
      </c>
      <c r="J240" t="s">
        <v>77</v>
      </c>
      <c r="K240" t="s">
        <v>78</v>
      </c>
      <c r="L240" t="s">
        <v>141</v>
      </c>
      <c r="M240" t="s">
        <v>142</v>
      </c>
      <c r="N240" t="s">
        <v>608</v>
      </c>
      <c r="O240" t="s">
        <v>80</v>
      </c>
      <c r="P240" t="str">
        <f>"4170071366                    "</f>
        <v xml:space="preserve">4170071366                    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183.44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1</v>
      </c>
      <c r="BI240">
        <v>94</v>
      </c>
      <c r="BJ240">
        <v>70.2</v>
      </c>
      <c r="BK240">
        <v>94</v>
      </c>
      <c r="BL240">
        <v>606.44000000000005</v>
      </c>
      <c r="BM240">
        <v>90.97</v>
      </c>
      <c r="BN240">
        <v>697.41</v>
      </c>
      <c r="BO240">
        <v>697.41</v>
      </c>
      <c r="BQ240" t="s">
        <v>609</v>
      </c>
      <c r="BR240" t="s">
        <v>82</v>
      </c>
      <c r="BS240" s="3">
        <v>45996</v>
      </c>
      <c r="BT240" s="4">
        <v>0.56180555555555556</v>
      </c>
      <c r="BU240" t="s">
        <v>789</v>
      </c>
      <c r="BV240" t="s">
        <v>84</v>
      </c>
      <c r="BY240">
        <v>350880</v>
      </c>
      <c r="CA240" t="s">
        <v>489</v>
      </c>
      <c r="CC240" t="s">
        <v>142</v>
      </c>
      <c r="CD240">
        <v>6070</v>
      </c>
      <c r="CE240" t="s">
        <v>790</v>
      </c>
      <c r="CF240" s="3">
        <v>45996</v>
      </c>
      <c r="CI240">
        <v>3</v>
      </c>
      <c r="CJ240">
        <v>3</v>
      </c>
      <c r="CK240">
        <v>41</v>
      </c>
      <c r="CL240" t="s">
        <v>87</v>
      </c>
    </row>
    <row r="241" spans="1:90" x14ac:dyDescent="0.3">
      <c r="A241" t="s">
        <v>72</v>
      </c>
      <c r="B241" t="s">
        <v>73</v>
      </c>
      <c r="C241" t="s">
        <v>74</v>
      </c>
      <c r="E241" t="str">
        <f>"080069620627"</f>
        <v>080069620627</v>
      </c>
      <c r="F241" s="3">
        <v>45993</v>
      </c>
      <c r="G241">
        <v>202609</v>
      </c>
      <c r="H241" t="s">
        <v>75</v>
      </c>
      <c r="I241" t="s">
        <v>76</v>
      </c>
      <c r="J241" t="s">
        <v>77</v>
      </c>
      <c r="K241" t="s">
        <v>78</v>
      </c>
      <c r="L241" t="s">
        <v>189</v>
      </c>
      <c r="M241" t="s">
        <v>190</v>
      </c>
      <c r="N241" t="s">
        <v>791</v>
      </c>
      <c r="O241" t="s">
        <v>89</v>
      </c>
      <c r="P241" t="str">
        <f>"4170071450                    "</f>
        <v xml:space="preserve">4170071450                    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83.37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1</v>
      </c>
      <c r="BI241">
        <v>5</v>
      </c>
      <c r="BJ241">
        <v>7.4</v>
      </c>
      <c r="BK241">
        <v>7.5</v>
      </c>
      <c r="BL241">
        <v>272.83999999999997</v>
      </c>
      <c r="BM241">
        <v>40.93</v>
      </c>
      <c r="BN241">
        <v>313.77</v>
      </c>
      <c r="BO241">
        <v>313.77</v>
      </c>
      <c r="BQ241" t="s">
        <v>792</v>
      </c>
      <c r="BR241" t="s">
        <v>82</v>
      </c>
      <c r="BS241" s="3">
        <v>45995</v>
      </c>
      <c r="BT241" s="4">
        <v>0.4513888888888889</v>
      </c>
      <c r="BU241" t="s">
        <v>793</v>
      </c>
      <c r="BV241" t="s">
        <v>87</v>
      </c>
      <c r="BY241">
        <v>36836.36</v>
      </c>
      <c r="CA241" t="s">
        <v>794</v>
      </c>
      <c r="CC241" t="s">
        <v>190</v>
      </c>
      <c r="CD241">
        <v>3201</v>
      </c>
      <c r="CE241" t="s">
        <v>93</v>
      </c>
      <c r="CF241" s="3">
        <v>45996</v>
      </c>
      <c r="CI241">
        <v>1</v>
      </c>
      <c r="CJ241">
        <v>2</v>
      </c>
      <c r="CK241">
        <v>21</v>
      </c>
      <c r="CL241" t="s">
        <v>87</v>
      </c>
    </row>
    <row r="242" spans="1:90" x14ac:dyDescent="0.3">
      <c r="A242" t="s">
        <v>72</v>
      </c>
      <c r="B242" t="s">
        <v>73</v>
      </c>
      <c r="C242" t="s">
        <v>74</v>
      </c>
      <c r="E242" t="str">
        <f>"080069620676"</f>
        <v>080069620676</v>
      </c>
      <c r="F242" s="3">
        <v>45993</v>
      </c>
      <c r="G242">
        <v>202609</v>
      </c>
      <c r="H242" t="s">
        <v>75</v>
      </c>
      <c r="I242" t="s">
        <v>76</v>
      </c>
      <c r="J242" t="s">
        <v>77</v>
      </c>
      <c r="K242" t="s">
        <v>78</v>
      </c>
      <c r="L242" t="s">
        <v>302</v>
      </c>
      <c r="M242" t="s">
        <v>303</v>
      </c>
      <c r="N242" t="s">
        <v>795</v>
      </c>
      <c r="O242" t="s">
        <v>89</v>
      </c>
      <c r="P242" t="str">
        <f>"4170071477                    "</f>
        <v xml:space="preserve">4170071477                    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0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22.24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1</v>
      </c>
      <c r="BI242">
        <v>0.8</v>
      </c>
      <c r="BJ242">
        <v>0.9</v>
      </c>
      <c r="BK242">
        <v>1</v>
      </c>
      <c r="BL242">
        <v>72.78</v>
      </c>
      <c r="BM242">
        <v>10.92</v>
      </c>
      <c r="BN242">
        <v>83.7</v>
      </c>
      <c r="BO242">
        <v>83.7</v>
      </c>
      <c r="BQ242" t="s">
        <v>796</v>
      </c>
      <c r="BR242" t="s">
        <v>82</v>
      </c>
      <c r="BS242" s="3">
        <v>45994</v>
      </c>
      <c r="BT242" s="4">
        <v>0.31736111111111109</v>
      </c>
      <c r="BU242" t="s">
        <v>797</v>
      </c>
      <c r="BV242" t="s">
        <v>84</v>
      </c>
      <c r="BY242">
        <v>4444.4799999999996</v>
      </c>
      <c r="CA242">
        <v>9107126013089</v>
      </c>
      <c r="CC242" t="s">
        <v>303</v>
      </c>
      <c r="CD242" s="5" t="s">
        <v>664</v>
      </c>
      <c r="CE242" t="s">
        <v>86</v>
      </c>
      <c r="CF242" s="3">
        <v>45994</v>
      </c>
      <c r="CI242">
        <v>1</v>
      </c>
      <c r="CJ242">
        <v>1</v>
      </c>
      <c r="CK242">
        <v>21</v>
      </c>
      <c r="CL242" t="s">
        <v>87</v>
      </c>
    </row>
    <row r="243" spans="1:90" x14ac:dyDescent="0.3">
      <c r="A243" t="s">
        <v>72</v>
      </c>
      <c r="B243" t="s">
        <v>73</v>
      </c>
      <c r="C243" t="s">
        <v>74</v>
      </c>
      <c r="E243" t="str">
        <f>"080069620995"</f>
        <v>080069620995</v>
      </c>
      <c r="F243" s="3">
        <v>45993</v>
      </c>
      <c r="G243">
        <v>202609</v>
      </c>
      <c r="H243" t="s">
        <v>75</v>
      </c>
      <c r="I243" t="s">
        <v>76</v>
      </c>
      <c r="J243" t="s">
        <v>77</v>
      </c>
      <c r="K243" t="s">
        <v>78</v>
      </c>
      <c r="L243" t="s">
        <v>141</v>
      </c>
      <c r="M243" t="s">
        <v>142</v>
      </c>
      <c r="N243" t="s">
        <v>798</v>
      </c>
      <c r="O243" t="s">
        <v>80</v>
      </c>
      <c r="P243" t="str">
        <f>"1026194298                    "</f>
        <v xml:space="preserve">1026194298                    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521.17999999999995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5</v>
      </c>
      <c r="BI243">
        <v>280</v>
      </c>
      <c r="BJ243">
        <v>283.10000000000002</v>
      </c>
      <c r="BK243">
        <v>284</v>
      </c>
      <c r="BL243">
        <v>1711.78</v>
      </c>
      <c r="BM243">
        <v>256.77</v>
      </c>
      <c r="BN243">
        <v>1968.55</v>
      </c>
      <c r="BO243">
        <v>1968.55</v>
      </c>
      <c r="BQ243" t="s">
        <v>799</v>
      </c>
      <c r="BR243" t="s">
        <v>82</v>
      </c>
      <c r="BS243" s="3">
        <v>45999</v>
      </c>
      <c r="BT243" s="4">
        <v>0.47569444444444442</v>
      </c>
      <c r="BU243" t="s">
        <v>800</v>
      </c>
      <c r="BV243" t="s">
        <v>87</v>
      </c>
      <c r="BW243" t="s">
        <v>622</v>
      </c>
      <c r="BX243" t="s">
        <v>623</v>
      </c>
      <c r="BY243">
        <v>1323216</v>
      </c>
      <c r="CC243" t="s">
        <v>142</v>
      </c>
      <c r="CD243">
        <v>6001</v>
      </c>
      <c r="CE243" t="s">
        <v>86</v>
      </c>
      <c r="CF243" s="3">
        <v>46001</v>
      </c>
      <c r="CI243">
        <v>3</v>
      </c>
      <c r="CJ243">
        <v>4</v>
      </c>
      <c r="CK243">
        <v>41</v>
      </c>
      <c r="CL243" t="s">
        <v>87</v>
      </c>
    </row>
    <row r="244" spans="1:90" x14ac:dyDescent="0.3">
      <c r="A244" t="s">
        <v>72</v>
      </c>
      <c r="B244" t="s">
        <v>73</v>
      </c>
      <c r="C244" t="s">
        <v>74</v>
      </c>
      <c r="E244" t="str">
        <f>"080069621049"</f>
        <v>080069621049</v>
      </c>
      <c r="F244" s="3">
        <v>45993</v>
      </c>
      <c r="G244">
        <v>202609</v>
      </c>
      <c r="H244" t="s">
        <v>75</v>
      </c>
      <c r="I244" t="s">
        <v>76</v>
      </c>
      <c r="J244" t="s">
        <v>77</v>
      </c>
      <c r="K244" t="s">
        <v>78</v>
      </c>
      <c r="L244" t="s">
        <v>141</v>
      </c>
      <c r="M244" t="s">
        <v>142</v>
      </c>
      <c r="N244" t="s">
        <v>801</v>
      </c>
      <c r="O244" t="s">
        <v>89</v>
      </c>
      <c r="P244" t="str">
        <f>"4170071475                    "</f>
        <v xml:space="preserve">4170071475                    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22.24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1</v>
      </c>
      <c r="BI244">
        <v>1</v>
      </c>
      <c r="BJ244">
        <v>0.2</v>
      </c>
      <c r="BK244">
        <v>1</v>
      </c>
      <c r="BL244">
        <v>72.78</v>
      </c>
      <c r="BM244">
        <v>10.92</v>
      </c>
      <c r="BN244">
        <v>83.7</v>
      </c>
      <c r="BO244">
        <v>83.7</v>
      </c>
      <c r="BQ244" t="s">
        <v>802</v>
      </c>
      <c r="BR244" t="s">
        <v>82</v>
      </c>
      <c r="BS244" s="3">
        <v>45994</v>
      </c>
      <c r="BT244" s="4">
        <v>0.42708333333333331</v>
      </c>
      <c r="BU244" t="s">
        <v>803</v>
      </c>
      <c r="BV244" t="s">
        <v>84</v>
      </c>
      <c r="BY244">
        <v>1200</v>
      </c>
      <c r="CA244" t="s">
        <v>146</v>
      </c>
      <c r="CC244" t="s">
        <v>142</v>
      </c>
      <c r="CD244">
        <v>6001</v>
      </c>
      <c r="CE244" t="s">
        <v>134</v>
      </c>
      <c r="CF244" s="3">
        <v>45994</v>
      </c>
      <c r="CI244">
        <v>1</v>
      </c>
      <c r="CJ244">
        <v>1</v>
      </c>
      <c r="CK244">
        <v>21</v>
      </c>
      <c r="CL244" t="s">
        <v>87</v>
      </c>
    </row>
    <row r="245" spans="1:90" x14ac:dyDescent="0.3">
      <c r="A245" t="s">
        <v>72</v>
      </c>
      <c r="B245" t="s">
        <v>73</v>
      </c>
      <c r="C245" t="s">
        <v>74</v>
      </c>
      <c r="E245" t="str">
        <f>"080069621097"</f>
        <v>080069621097</v>
      </c>
      <c r="F245" s="3">
        <v>45993</v>
      </c>
      <c r="G245">
        <v>202609</v>
      </c>
      <c r="H245" t="s">
        <v>75</v>
      </c>
      <c r="I245" t="s">
        <v>76</v>
      </c>
      <c r="J245" t="s">
        <v>77</v>
      </c>
      <c r="K245" t="s">
        <v>78</v>
      </c>
      <c r="L245" t="s">
        <v>94</v>
      </c>
      <c r="M245" t="s">
        <v>95</v>
      </c>
      <c r="N245" t="s">
        <v>804</v>
      </c>
      <c r="O245" t="s">
        <v>89</v>
      </c>
      <c r="P245" t="str">
        <f>"4170071513                    "</f>
        <v xml:space="preserve">4170071513                    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22.24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0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1</v>
      </c>
      <c r="BI245">
        <v>1</v>
      </c>
      <c r="BJ245">
        <v>0.2</v>
      </c>
      <c r="BK245">
        <v>1</v>
      </c>
      <c r="BL245">
        <v>72.78</v>
      </c>
      <c r="BM245">
        <v>10.92</v>
      </c>
      <c r="BN245">
        <v>83.7</v>
      </c>
      <c r="BO245">
        <v>83.7</v>
      </c>
      <c r="BQ245" t="s">
        <v>805</v>
      </c>
      <c r="BR245" t="s">
        <v>82</v>
      </c>
      <c r="BS245" s="3">
        <v>45994</v>
      </c>
      <c r="BT245" s="4">
        <v>0.40208333333333335</v>
      </c>
      <c r="BU245" t="s">
        <v>806</v>
      </c>
      <c r="BV245" t="s">
        <v>84</v>
      </c>
      <c r="BY245">
        <v>1200</v>
      </c>
      <c r="CA245" t="s">
        <v>99</v>
      </c>
      <c r="CC245" t="s">
        <v>95</v>
      </c>
      <c r="CD245">
        <v>3600</v>
      </c>
      <c r="CE245" t="s">
        <v>134</v>
      </c>
      <c r="CF245" s="3">
        <v>45994</v>
      </c>
      <c r="CI245">
        <v>1</v>
      </c>
      <c r="CJ245">
        <v>1</v>
      </c>
      <c r="CK245">
        <v>21</v>
      </c>
      <c r="CL245" t="s">
        <v>87</v>
      </c>
    </row>
    <row r="246" spans="1:90" x14ac:dyDescent="0.3">
      <c r="A246" t="s">
        <v>72</v>
      </c>
      <c r="B246" t="s">
        <v>73</v>
      </c>
      <c r="C246" t="s">
        <v>74</v>
      </c>
      <c r="E246" t="str">
        <f>"080069621184"</f>
        <v>080069621184</v>
      </c>
      <c r="F246" s="3">
        <v>45993</v>
      </c>
      <c r="G246">
        <v>202609</v>
      </c>
      <c r="H246" t="s">
        <v>75</v>
      </c>
      <c r="I246" t="s">
        <v>76</v>
      </c>
      <c r="J246" t="s">
        <v>77</v>
      </c>
      <c r="K246" t="s">
        <v>78</v>
      </c>
      <c r="L246" t="s">
        <v>781</v>
      </c>
      <c r="M246" t="s">
        <v>782</v>
      </c>
      <c r="N246" t="s">
        <v>807</v>
      </c>
      <c r="O246" t="s">
        <v>89</v>
      </c>
      <c r="P246" t="str">
        <f>"4170071520                    "</f>
        <v xml:space="preserve">4170071520                    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0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22.24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0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1</v>
      </c>
      <c r="BI246">
        <v>1</v>
      </c>
      <c r="BJ246">
        <v>0.2</v>
      </c>
      <c r="BK246">
        <v>1</v>
      </c>
      <c r="BL246">
        <v>72.78</v>
      </c>
      <c r="BM246">
        <v>10.92</v>
      </c>
      <c r="BN246">
        <v>83.7</v>
      </c>
      <c r="BO246">
        <v>83.7</v>
      </c>
      <c r="BQ246" t="s">
        <v>808</v>
      </c>
      <c r="BR246" t="s">
        <v>82</v>
      </c>
      <c r="BS246" s="3">
        <v>45995</v>
      </c>
      <c r="BT246" s="4">
        <v>0.54861111111111116</v>
      </c>
      <c r="BU246" t="s">
        <v>809</v>
      </c>
      <c r="BV246" t="s">
        <v>87</v>
      </c>
      <c r="BW246" t="s">
        <v>246</v>
      </c>
      <c r="BX246" t="s">
        <v>810</v>
      </c>
      <c r="BY246">
        <v>1200</v>
      </c>
      <c r="CA246" t="s">
        <v>630</v>
      </c>
      <c r="CC246" t="s">
        <v>782</v>
      </c>
      <c r="CD246">
        <v>4113</v>
      </c>
      <c r="CE246" t="s">
        <v>134</v>
      </c>
      <c r="CF246" s="3">
        <v>45996</v>
      </c>
      <c r="CI246">
        <v>1</v>
      </c>
      <c r="CJ246">
        <v>2</v>
      </c>
      <c r="CK246">
        <v>21</v>
      </c>
      <c r="CL246" t="s">
        <v>87</v>
      </c>
    </row>
    <row r="247" spans="1:90" x14ac:dyDescent="0.3">
      <c r="A247" t="s">
        <v>72</v>
      </c>
      <c r="B247" t="s">
        <v>73</v>
      </c>
      <c r="C247" t="s">
        <v>74</v>
      </c>
      <c r="E247" t="str">
        <f>"080069621222"</f>
        <v>080069621222</v>
      </c>
      <c r="F247" s="3">
        <v>45993</v>
      </c>
      <c r="G247">
        <v>202609</v>
      </c>
      <c r="H247" t="s">
        <v>75</v>
      </c>
      <c r="I247" t="s">
        <v>76</v>
      </c>
      <c r="J247" t="s">
        <v>77</v>
      </c>
      <c r="K247" t="s">
        <v>78</v>
      </c>
      <c r="L247" t="s">
        <v>94</v>
      </c>
      <c r="M247" t="s">
        <v>95</v>
      </c>
      <c r="N247" t="s">
        <v>804</v>
      </c>
      <c r="O247" t="s">
        <v>89</v>
      </c>
      <c r="P247" t="str">
        <f>"4170071511                    "</f>
        <v xml:space="preserve">4170071511                    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0</v>
      </c>
      <c r="AG247">
        <v>0</v>
      </c>
      <c r="AH247">
        <v>0</v>
      </c>
      <c r="AI247">
        <v>0</v>
      </c>
      <c r="AJ247">
        <v>0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22.24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0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1</v>
      </c>
      <c r="BI247">
        <v>1</v>
      </c>
      <c r="BJ247">
        <v>0.2</v>
      </c>
      <c r="BK247">
        <v>1</v>
      </c>
      <c r="BL247">
        <v>72.78</v>
      </c>
      <c r="BM247">
        <v>10.92</v>
      </c>
      <c r="BN247">
        <v>83.7</v>
      </c>
      <c r="BO247">
        <v>83.7</v>
      </c>
      <c r="BQ247" t="s">
        <v>805</v>
      </c>
      <c r="BR247" t="s">
        <v>82</v>
      </c>
      <c r="BS247" s="3">
        <v>45994</v>
      </c>
      <c r="BT247" s="4">
        <v>0.40208333333333335</v>
      </c>
      <c r="BU247" t="s">
        <v>806</v>
      </c>
      <c r="BV247" t="s">
        <v>84</v>
      </c>
      <c r="BY247">
        <v>1200</v>
      </c>
      <c r="CA247" t="s">
        <v>99</v>
      </c>
      <c r="CC247" t="s">
        <v>95</v>
      </c>
      <c r="CD247">
        <v>3600</v>
      </c>
      <c r="CE247" t="s">
        <v>811</v>
      </c>
      <c r="CF247" s="3">
        <v>45994</v>
      </c>
      <c r="CI247">
        <v>1</v>
      </c>
      <c r="CJ247">
        <v>1</v>
      </c>
      <c r="CK247">
        <v>21</v>
      </c>
      <c r="CL247" t="s">
        <v>87</v>
      </c>
    </row>
    <row r="248" spans="1:90" x14ac:dyDescent="0.3">
      <c r="A248" t="s">
        <v>72</v>
      </c>
      <c r="B248" t="s">
        <v>73</v>
      </c>
      <c r="C248" t="s">
        <v>74</v>
      </c>
      <c r="E248" t="str">
        <f>"080069621252"</f>
        <v>080069621252</v>
      </c>
      <c r="F248" s="3">
        <v>45993</v>
      </c>
      <c r="G248">
        <v>202609</v>
      </c>
      <c r="H248" t="s">
        <v>75</v>
      </c>
      <c r="I248" t="s">
        <v>76</v>
      </c>
      <c r="J248" t="s">
        <v>77</v>
      </c>
      <c r="K248" t="s">
        <v>78</v>
      </c>
      <c r="L248" t="s">
        <v>141</v>
      </c>
      <c r="M248" t="s">
        <v>142</v>
      </c>
      <c r="N248" t="s">
        <v>587</v>
      </c>
      <c r="O248" t="s">
        <v>89</v>
      </c>
      <c r="P248" t="str">
        <f>"4170071403                    "</f>
        <v xml:space="preserve">4170071403                    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22.24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1</v>
      </c>
      <c r="BI248">
        <v>1</v>
      </c>
      <c r="BJ248">
        <v>0.2</v>
      </c>
      <c r="BK248">
        <v>1</v>
      </c>
      <c r="BL248">
        <v>72.78</v>
      </c>
      <c r="BM248">
        <v>10.92</v>
      </c>
      <c r="BN248">
        <v>83.7</v>
      </c>
      <c r="BO248">
        <v>83.7</v>
      </c>
      <c r="BQ248" t="s">
        <v>588</v>
      </c>
      <c r="BR248" t="s">
        <v>82</v>
      </c>
      <c r="BS248" s="3">
        <v>45994</v>
      </c>
      <c r="BT248" s="4">
        <v>0.42222222222222222</v>
      </c>
      <c r="BU248" t="s">
        <v>812</v>
      </c>
      <c r="BV248" t="s">
        <v>84</v>
      </c>
      <c r="BY248">
        <v>1200</v>
      </c>
      <c r="CA248" t="s">
        <v>571</v>
      </c>
      <c r="CC248" t="s">
        <v>142</v>
      </c>
      <c r="CD248">
        <v>6001</v>
      </c>
      <c r="CE248" t="s">
        <v>134</v>
      </c>
      <c r="CF248" s="3">
        <v>45994</v>
      </c>
      <c r="CI248">
        <v>1</v>
      </c>
      <c r="CJ248">
        <v>1</v>
      </c>
      <c r="CK248">
        <v>21</v>
      </c>
      <c r="CL248" t="s">
        <v>87</v>
      </c>
    </row>
    <row r="249" spans="1:90" x14ac:dyDescent="0.3">
      <c r="A249" t="s">
        <v>72</v>
      </c>
      <c r="B249" t="s">
        <v>73</v>
      </c>
      <c r="C249" t="s">
        <v>74</v>
      </c>
      <c r="E249" t="str">
        <f>"080069621292"</f>
        <v>080069621292</v>
      </c>
      <c r="F249" s="3">
        <v>45993</v>
      </c>
      <c r="G249">
        <v>202609</v>
      </c>
      <c r="H249" t="s">
        <v>75</v>
      </c>
      <c r="I249" t="s">
        <v>76</v>
      </c>
      <c r="J249" t="s">
        <v>77</v>
      </c>
      <c r="K249" t="s">
        <v>78</v>
      </c>
      <c r="L249" t="s">
        <v>813</v>
      </c>
      <c r="M249" t="s">
        <v>814</v>
      </c>
      <c r="N249" t="s">
        <v>815</v>
      </c>
      <c r="O249" t="s">
        <v>89</v>
      </c>
      <c r="P249" t="str">
        <f>"4170071421                    "</f>
        <v xml:space="preserve">4170071421                    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43.09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1</v>
      </c>
      <c r="BI249">
        <v>1</v>
      </c>
      <c r="BJ249">
        <v>0.2</v>
      </c>
      <c r="BK249">
        <v>1</v>
      </c>
      <c r="BL249">
        <v>141.02000000000001</v>
      </c>
      <c r="BM249">
        <v>21.15</v>
      </c>
      <c r="BN249">
        <v>162.16999999999999</v>
      </c>
      <c r="BO249">
        <v>162.16999999999999</v>
      </c>
      <c r="BQ249" t="s">
        <v>816</v>
      </c>
      <c r="BR249" t="s">
        <v>82</v>
      </c>
      <c r="BS249" s="3">
        <v>45996</v>
      </c>
      <c r="BT249" s="4">
        <v>0.63611111111111107</v>
      </c>
      <c r="BU249" t="s">
        <v>817</v>
      </c>
      <c r="BV249" t="s">
        <v>87</v>
      </c>
      <c r="BW249" t="s">
        <v>174</v>
      </c>
      <c r="BX249" t="s">
        <v>818</v>
      </c>
      <c r="BY249">
        <v>1200</v>
      </c>
      <c r="CA249">
        <v>7611055191081</v>
      </c>
      <c r="CC249" t="s">
        <v>814</v>
      </c>
      <c r="CD249">
        <v>7395</v>
      </c>
      <c r="CE249" t="s">
        <v>134</v>
      </c>
      <c r="CF249" s="3">
        <v>45999</v>
      </c>
      <c r="CI249">
        <v>1</v>
      </c>
      <c r="CJ249">
        <v>3</v>
      </c>
      <c r="CK249">
        <v>23</v>
      </c>
      <c r="CL249" t="s">
        <v>87</v>
      </c>
    </row>
    <row r="250" spans="1:90" x14ac:dyDescent="0.3">
      <c r="A250" t="s">
        <v>72</v>
      </c>
      <c r="B250" t="s">
        <v>73</v>
      </c>
      <c r="C250" t="s">
        <v>74</v>
      </c>
      <c r="E250" t="str">
        <f>"080069621335"</f>
        <v>080069621335</v>
      </c>
      <c r="F250" s="3">
        <v>45993</v>
      </c>
      <c r="G250">
        <v>202609</v>
      </c>
      <c r="H250" t="s">
        <v>75</v>
      </c>
      <c r="I250" t="s">
        <v>76</v>
      </c>
      <c r="J250" t="s">
        <v>77</v>
      </c>
      <c r="K250" t="s">
        <v>78</v>
      </c>
      <c r="L250" t="s">
        <v>141</v>
      </c>
      <c r="M250" t="s">
        <v>142</v>
      </c>
      <c r="N250" t="s">
        <v>587</v>
      </c>
      <c r="O250" t="s">
        <v>89</v>
      </c>
      <c r="P250" t="str">
        <f>"4170071456                    "</f>
        <v xml:space="preserve">4170071456                    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22.24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1</v>
      </c>
      <c r="BI250">
        <v>1</v>
      </c>
      <c r="BJ250">
        <v>0.2</v>
      </c>
      <c r="BK250">
        <v>1</v>
      </c>
      <c r="BL250">
        <v>72.78</v>
      </c>
      <c r="BM250">
        <v>10.92</v>
      </c>
      <c r="BN250">
        <v>83.7</v>
      </c>
      <c r="BO250">
        <v>83.7</v>
      </c>
      <c r="BQ250" t="s">
        <v>588</v>
      </c>
      <c r="BR250" t="s">
        <v>82</v>
      </c>
      <c r="BS250" s="3">
        <v>45994</v>
      </c>
      <c r="BT250" s="4">
        <v>0.42222222222222222</v>
      </c>
      <c r="BU250" t="s">
        <v>611</v>
      </c>
      <c r="BV250" t="s">
        <v>84</v>
      </c>
      <c r="BY250">
        <v>1200</v>
      </c>
      <c r="CA250" t="s">
        <v>571</v>
      </c>
      <c r="CC250" t="s">
        <v>142</v>
      </c>
      <c r="CD250">
        <v>6001</v>
      </c>
      <c r="CE250" t="s">
        <v>134</v>
      </c>
      <c r="CF250" s="3">
        <v>45994</v>
      </c>
      <c r="CI250">
        <v>1</v>
      </c>
      <c r="CJ250">
        <v>1</v>
      </c>
      <c r="CK250">
        <v>21</v>
      </c>
      <c r="CL250" t="s">
        <v>87</v>
      </c>
    </row>
    <row r="251" spans="1:90" x14ac:dyDescent="0.3">
      <c r="A251" t="s">
        <v>72</v>
      </c>
      <c r="B251" t="s">
        <v>73</v>
      </c>
      <c r="C251" t="s">
        <v>74</v>
      </c>
      <c r="E251" t="str">
        <f>"080069621336"</f>
        <v>080069621336</v>
      </c>
      <c r="F251" s="3">
        <v>45993</v>
      </c>
      <c r="G251">
        <v>202609</v>
      </c>
      <c r="H251" t="s">
        <v>75</v>
      </c>
      <c r="I251" t="s">
        <v>76</v>
      </c>
      <c r="J251" t="s">
        <v>77</v>
      </c>
      <c r="K251" t="s">
        <v>78</v>
      </c>
      <c r="L251" t="s">
        <v>141</v>
      </c>
      <c r="M251" t="s">
        <v>142</v>
      </c>
      <c r="N251" t="s">
        <v>819</v>
      </c>
      <c r="O251" t="s">
        <v>89</v>
      </c>
      <c r="P251" t="str">
        <f>"4170071507                    "</f>
        <v xml:space="preserve">4170071507                    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22.24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1</v>
      </c>
      <c r="BI251">
        <v>1.3</v>
      </c>
      <c r="BJ251">
        <v>1.5</v>
      </c>
      <c r="BK251">
        <v>1.5</v>
      </c>
      <c r="BL251">
        <v>72.78</v>
      </c>
      <c r="BM251">
        <v>10.92</v>
      </c>
      <c r="BN251">
        <v>83.7</v>
      </c>
      <c r="BO251">
        <v>83.7</v>
      </c>
      <c r="BQ251" t="s">
        <v>820</v>
      </c>
      <c r="BR251" t="s">
        <v>82</v>
      </c>
      <c r="BS251" s="3">
        <v>45994</v>
      </c>
      <c r="BT251" s="4">
        <v>0.43263888888888891</v>
      </c>
      <c r="BU251" t="s">
        <v>821</v>
      </c>
      <c r="BV251" t="s">
        <v>84</v>
      </c>
      <c r="BY251">
        <v>7344.94</v>
      </c>
      <c r="CA251" t="s">
        <v>327</v>
      </c>
      <c r="CC251" t="s">
        <v>142</v>
      </c>
      <c r="CD251">
        <v>6020</v>
      </c>
      <c r="CE251" t="s">
        <v>86</v>
      </c>
      <c r="CF251" s="3">
        <v>45994</v>
      </c>
      <c r="CI251">
        <v>1</v>
      </c>
      <c r="CJ251">
        <v>1</v>
      </c>
      <c r="CK251">
        <v>21</v>
      </c>
      <c r="CL251" t="s">
        <v>87</v>
      </c>
    </row>
    <row r="252" spans="1:90" x14ac:dyDescent="0.3">
      <c r="A252" t="s">
        <v>72</v>
      </c>
      <c r="B252" t="s">
        <v>73</v>
      </c>
      <c r="C252" t="s">
        <v>74</v>
      </c>
      <c r="E252" t="str">
        <f>"080069621377"</f>
        <v>080069621377</v>
      </c>
      <c r="F252" s="3">
        <v>45993</v>
      </c>
      <c r="G252">
        <v>202609</v>
      </c>
      <c r="H252" t="s">
        <v>75</v>
      </c>
      <c r="I252" t="s">
        <v>76</v>
      </c>
      <c r="J252" t="s">
        <v>77</v>
      </c>
      <c r="K252" t="s">
        <v>78</v>
      </c>
      <c r="L252" t="s">
        <v>283</v>
      </c>
      <c r="M252" t="s">
        <v>284</v>
      </c>
      <c r="N252" t="s">
        <v>822</v>
      </c>
      <c r="O252" t="s">
        <v>89</v>
      </c>
      <c r="P252" t="str">
        <f>"4170071523                    "</f>
        <v xml:space="preserve">4170071523                    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43.09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0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1</v>
      </c>
      <c r="BI252">
        <v>1</v>
      </c>
      <c r="BJ252">
        <v>0.2</v>
      </c>
      <c r="BK252">
        <v>1</v>
      </c>
      <c r="BL252">
        <v>141.02000000000001</v>
      </c>
      <c r="BM252">
        <v>21.15</v>
      </c>
      <c r="BN252">
        <v>162.16999999999999</v>
      </c>
      <c r="BO252">
        <v>162.16999999999999</v>
      </c>
      <c r="BQ252" t="s">
        <v>823</v>
      </c>
      <c r="BR252" t="s">
        <v>82</v>
      </c>
      <c r="BS252" s="3">
        <v>45994</v>
      </c>
      <c r="BT252" s="4">
        <v>0.43125000000000002</v>
      </c>
      <c r="BU252" t="s">
        <v>824</v>
      </c>
      <c r="BV252" t="s">
        <v>84</v>
      </c>
      <c r="BY252">
        <v>1200</v>
      </c>
      <c r="CA252">
        <v>8505285566089</v>
      </c>
      <c r="CC252" t="s">
        <v>284</v>
      </c>
      <c r="CD252">
        <v>1947</v>
      </c>
      <c r="CE252" t="s">
        <v>134</v>
      </c>
      <c r="CF252" s="3">
        <v>45995</v>
      </c>
      <c r="CI252">
        <v>1</v>
      </c>
      <c r="CJ252">
        <v>1</v>
      </c>
      <c r="CK252">
        <v>23</v>
      </c>
      <c r="CL252" t="s">
        <v>87</v>
      </c>
    </row>
    <row r="253" spans="1:90" x14ac:dyDescent="0.3">
      <c r="A253" t="s">
        <v>72</v>
      </c>
      <c r="B253" t="s">
        <v>73</v>
      </c>
      <c r="C253" t="s">
        <v>74</v>
      </c>
      <c r="E253" t="str">
        <f>"080069621383"</f>
        <v>080069621383</v>
      </c>
      <c r="F253" s="3">
        <v>45993</v>
      </c>
      <c r="G253">
        <v>202609</v>
      </c>
      <c r="H253" t="s">
        <v>75</v>
      </c>
      <c r="I253" t="s">
        <v>76</v>
      </c>
      <c r="J253" t="s">
        <v>77</v>
      </c>
      <c r="K253" t="s">
        <v>78</v>
      </c>
      <c r="L253" t="s">
        <v>535</v>
      </c>
      <c r="M253" t="s">
        <v>535</v>
      </c>
      <c r="N253" t="s">
        <v>825</v>
      </c>
      <c r="O253" t="s">
        <v>89</v>
      </c>
      <c r="P253" t="str">
        <f>"4170071483                    "</f>
        <v xml:space="preserve">4170071483                    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43.09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0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1</v>
      </c>
      <c r="BI253">
        <v>1</v>
      </c>
      <c r="BJ253">
        <v>0.2</v>
      </c>
      <c r="BK253">
        <v>1</v>
      </c>
      <c r="BL253">
        <v>141.02000000000001</v>
      </c>
      <c r="BM253">
        <v>21.15</v>
      </c>
      <c r="BN253">
        <v>162.16999999999999</v>
      </c>
      <c r="BO253">
        <v>162.16999999999999</v>
      </c>
      <c r="BQ253" t="s">
        <v>826</v>
      </c>
      <c r="BR253" t="s">
        <v>82</v>
      </c>
      <c r="BS253" s="3">
        <v>45994</v>
      </c>
      <c r="BT253" s="4">
        <v>0.68402777777777779</v>
      </c>
      <c r="BU253" t="s">
        <v>827</v>
      </c>
      <c r="BV253" t="s">
        <v>87</v>
      </c>
      <c r="BW253" t="s">
        <v>153</v>
      </c>
      <c r="BX253" t="s">
        <v>345</v>
      </c>
      <c r="BY253">
        <v>1200</v>
      </c>
      <c r="CA253" t="s">
        <v>539</v>
      </c>
      <c r="CC253" t="s">
        <v>535</v>
      </c>
      <c r="CD253">
        <v>7646</v>
      </c>
      <c r="CE253" t="s">
        <v>134</v>
      </c>
      <c r="CF253" s="3">
        <v>45995</v>
      </c>
      <c r="CI253">
        <v>1</v>
      </c>
      <c r="CJ253">
        <v>1</v>
      </c>
      <c r="CK253">
        <v>23</v>
      </c>
      <c r="CL253" t="s">
        <v>87</v>
      </c>
    </row>
    <row r="254" spans="1:90" x14ac:dyDescent="0.3">
      <c r="A254" t="s">
        <v>72</v>
      </c>
      <c r="B254" t="s">
        <v>73</v>
      </c>
      <c r="C254" t="s">
        <v>74</v>
      </c>
      <c r="E254" t="str">
        <f>"080069621418"</f>
        <v>080069621418</v>
      </c>
      <c r="F254" s="3">
        <v>45993</v>
      </c>
      <c r="G254">
        <v>202609</v>
      </c>
      <c r="H254" t="s">
        <v>75</v>
      </c>
      <c r="I254" t="s">
        <v>76</v>
      </c>
      <c r="J254" t="s">
        <v>77</v>
      </c>
      <c r="K254" t="s">
        <v>78</v>
      </c>
      <c r="L254" t="s">
        <v>128</v>
      </c>
      <c r="M254" t="s">
        <v>129</v>
      </c>
      <c r="N254" t="s">
        <v>828</v>
      </c>
      <c r="O254" t="s">
        <v>89</v>
      </c>
      <c r="P254" t="str">
        <f>"4170071442                    "</f>
        <v xml:space="preserve">4170071442                    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27.79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0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1</v>
      </c>
      <c r="BI254">
        <v>0.9</v>
      </c>
      <c r="BJ254">
        <v>2.1</v>
      </c>
      <c r="BK254">
        <v>2.5</v>
      </c>
      <c r="BL254">
        <v>90.96</v>
      </c>
      <c r="BM254">
        <v>13.64</v>
      </c>
      <c r="BN254">
        <v>104.6</v>
      </c>
      <c r="BO254">
        <v>104.6</v>
      </c>
      <c r="BQ254" t="s">
        <v>829</v>
      </c>
      <c r="BR254" t="s">
        <v>82</v>
      </c>
      <c r="BS254" s="3">
        <v>45995</v>
      </c>
      <c r="BT254" s="4">
        <v>0.46597222222222223</v>
      </c>
      <c r="BU254" t="s">
        <v>830</v>
      </c>
      <c r="BV254" t="s">
        <v>87</v>
      </c>
      <c r="BW254" t="s">
        <v>186</v>
      </c>
      <c r="BX254" t="s">
        <v>187</v>
      </c>
      <c r="BY254">
        <v>10668</v>
      </c>
      <c r="CA254" t="s">
        <v>831</v>
      </c>
      <c r="CC254" t="s">
        <v>129</v>
      </c>
      <c r="CD254">
        <v>5201</v>
      </c>
      <c r="CE254" t="s">
        <v>93</v>
      </c>
      <c r="CF254" s="3">
        <v>45996</v>
      </c>
      <c r="CI254">
        <v>1</v>
      </c>
      <c r="CJ254">
        <v>2</v>
      </c>
      <c r="CK254">
        <v>21</v>
      </c>
      <c r="CL254" t="s">
        <v>87</v>
      </c>
    </row>
    <row r="255" spans="1:90" x14ac:dyDescent="0.3">
      <c r="A255" t="s">
        <v>72</v>
      </c>
      <c r="B255" t="s">
        <v>73</v>
      </c>
      <c r="C255" t="s">
        <v>74</v>
      </c>
      <c r="E255" t="str">
        <f>"080069621428"</f>
        <v>080069621428</v>
      </c>
      <c r="F255" s="3">
        <v>45993</v>
      </c>
      <c r="G255">
        <v>202609</v>
      </c>
      <c r="H255" t="s">
        <v>75</v>
      </c>
      <c r="I255" t="s">
        <v>76</v>
      </c>
      <c r="J255" t="s">
        <v>77</v>
      </c>
      <c r="K255" t="s">
        <v>78</v>
      </c>
      <c r="L255" t="s">
        <v>141</v>
      </c>
      <c r="M255" t="s">
        <v>142</v>
      </c>
      <c r="N255" t="s">
        <v>143</v>
      </c>
      <c r="O255" t="s">
        <v>89</v>
      </c>
      <c r="P255" t="str">
        <f>"4170070951                    "</f>
        <v xml:space="preserve">4170070951                    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0</v>
      </c>
      <c r="AJ255">
        <v>0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22.24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0</v>
      </c>
      <c r="AX255">
        <v>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1</v>
      </c>
      <c r="BI255">
        <v>1</v>
      </c>
      <c r="BJ255">
        <v>0.2</v>
      </c>
      <c r="BK255">
        <v>1</v>
      </c>
      <c r="BL255">
        <v>72.78</v>
      </c>
      <c r="BM255">
        <v>10.92</v>
      </c>
      <c r="BN255">
        <v>83.7</v>
      </c>
      <c r="BO255">
        <v>83.7</v>
      </c>
      <c r="BQ255" t="s">
        <v>144</v>
      </c>
      <c r="BR255" t="s">
        <v>82</v>
      </c>
      <c r="BS255" s="3">
        <v>45994</v>
      </c>
      <c r="BT255" s="4">
        <v>0.41180555555555554</v>
      </c>
      <c r="BU255" t="s">
        <v>145</v>
      </c>
      <c r="BV255" t="s">
        <v>84</v>
      </c>
      <c r="BY255">
        <v>1200</v>
      </c>
      <c r="CA255" t="s">
        <v>146</v>
      </c>
      <c r="CC255" t="s">
        <v>142</v>
      </c>
      <c r="CD255">
        <v>6001</v>
      </c>
      <c r="CE255" t="s">
        <v>134</v>
      </c>
      <c r="CF255" s="3">
        <v>45994</v>
      </c>
      <c r="CI255">
        <v>1</v>
      </c>
      <c r="CJ255">
        <v>1</v>
      </c>
      <c r="CK255">
        <v>21</v>
      </c>
      <c r="CL255" t="s">
        <v>87</v>
      </c>
    </row>
    <row r="256" spans="1:90" x14ac:dyDescent="0.3">
      <c r="A256" t="s">
        <v>72</v>
      </c>
      <c r="B256" t="s">
        <v>73</v>
      </c>
      <c r="C256" t="s">
        <v>74</v>
      </c>
      <c r="E256" t="str">
        <f>"080069621460"</f>
        <v>080069621460</v>
      </c>
      <c r="F256" s="3">
        <v>45993</v>
      </c>
      <c r="G256">
        <v>202609</v>
      </c>
      <c r="H256" t="s">
        <v>75</v>
      </c>
      <c r="I256" t="s">
        <v>76</v>
      </c>
      <c r="J256" t="s">
        <v>77</v>
      </c>
      <c r="K256" t="s">
        <v>78</v>
      </c>
      <c r="L256" t="s">
        <v>94</v>
      </c>
      <c r="M256" t="s">
        <v>95</v>
      </c>
      <c r="N256" t="s">
        <v>804</v>
      </c>
      <c r="O256" t="s">
        <v>89</v>
      </c>
      <c r="P256" t="str">
        <f>"4170071506                    "</f>
        <v xml:space="preserve">4170071506                    </v>
      </c>
      <c r="Q256">
        <v>0</v>
      </c>
      <c r="R256">
        <v>0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22.24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0</v>
      </c>
      <c r="AX256">
        <v>0</v>
      </c>
      <c r="AY256">
        <v>0</v>
      </c>
      <c r="AZ256">
        <v>0</v>
      </c>
      <c r="BA256">
        <v>0</v>
      </c>
      <c r="BB256">
        <v>0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1</v>
      </c>
      <c r="BI256">
        <v>1</v>
      </c>
      <c r="BJ256">
        <v>0.2</v>
      </c>
      <c r="BK256">
        <v>1</v>
      </c>
      <c r="BL256">
        <v>72.78</v>
      </c>
      <c r="BM256">
        <v>10.92</v>
      </c>
      <c r="BN256">
        <v>83.7</v>
      </c>
      <c r="BO256">
        <v>83.7</v>
      </c>
      <c r="BQ256" t="s">
        <v>805</v>
      </c>
      <c r="BR256" t="s">
        <v>82</v>
      </c>
      <c r="BS256" s="3">
        <v>45994</v>
      </c>
      <c r="BT256" s="4">
        <v>0.40208333333333335</v>
      </c>
      <c r="BU256" t="s">
        <v>806</v>
      </c>
      <c r="BV256" t="s">
        <v>84</v>
      </c>
      <c r="BY256">
        <v>1200</v>
      </c>
      <c r="CA256" t="s">
        <v>99</v>
      </c>
      <c r="CC256" t="s">
        <v>95</v>
      </c>
      <c r="CD256">
        <v>3600</v>
      </c>
      <c r="CE256" t="s">
        <v>134</v>
      </c>
      <c r="CF256" s="3">
        <v>45994</v>
      </c>
      <c r="CI256">
        <v>1</v>
      </c>
      <c r="CJ256">
        <v>1</v>
      </c>
      <c r="CK256">
        <v>21</v>
      </c>
      <c r="CL256" t="s">
        <v>87</v>
      </c>
    </row>
    <row r="257" spans="1:90" x14ac:dyDescent="0.3">
      <c r="A257" t="s">
        <v>72</v>
      </c>
      <c r="B257" t="s">
        <v>73</v>
      </c>
      <c r="C257" t="s">
        <v>74</v>
      </c>
      <c r="E257" t="str">
        <f>"080069621479"</f>
        <v>080069621479</v>
      </c>
      <c r="F257" s="3">
        <v>45993</v>
      </c>
      <c r="G257">
        <v>202609</v>
      </c>
      <c r="H257" t="s">
        <v>75</v>
      </c>
      <c r="I257" t="s">
        <v>76</v>
      </c>
      <c r="J257" t="s">
        <v>77</v>
      </c>
      <c r="K257" t="s">
        <v>78</v>
      </c>
      <c r="L257" t="s">
        <v>176</v>
      </c>
      <c r="M257" t="s">
        <v>177</v>
      </c>
      <c r="N257" t="s">
        <v>178</v>
      </c>
      <c r="O257" t="s">
        <v>89</v>
      </c>
      <c r="P257" t="str">
        <f>"4170071492                    "</f>
        <v xml:space="preserve">4170071492                    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17.37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0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1</v>
      </c>
      <c r="BI257">
        <v>2.7</v>
      </c>
      <c r="BJ257">
        <v>0.9</v>
      </c>
      <c r="BK257">
        <v>3</v>
      </c>
      <c r="BL257">
        <v>56.85</v>
      </c>
      <c r="BM257">
        <v>8.5299999999999994</v>
      </c>
      <c r="BN257">
        <v>65.38</v>
      </c>
      <c r="BO257">
        <v>65.38</v>
      </c>
      <c r="BQ257" t="s">
        <v>179</v>
      </c>
      <c r="BR257" t="s">
        <v>82</v>
      </c>
      <c r="BS257" s="3">
        <v>45994</v>
      </c>
      <c r="BT257" s="4">
        <v>0.4</v>
      </c>
      <c r="BU257" t="s">
        <v>180</v>
      </c>
      <c r="BV257" t="s">
        <v>84</v>
      </c>
      <c r="BY257">
        <v>4376.18</v>
      </c>
      <c r="CA257" t="s">
        <v>182</v>
      </c>
      <c r="CC257" t="s">
        <v>177</v>
      </c>
      <c r="CD257">
        <v>2094</v>
      </c>
      <c r="CE257" t="s">
        <v>86</v>
      </c>
      <c r="CF257" s="3">
        <v>45994</v>
      </c>
      <c r="CI257">
        <v>1</v>
      </c>
      <c r="CJ257">
        <v>1</v>
      </c>
      <c r="CK257">
        <v>22</v>
      </c>
      <c r="CL257" t="s">
        <v>87</v>
      </c>
    </row>
    <row r="258" spans="1:90" x14ac:dyDescent="0.3">
      <c r="A258" t="s">
        <v>72</v>
      </c>
      <c r="B258" t="s">
        <v>73</v>
      </c>
      <c r="C258" t="s">
        <v>74</v>
      </c>
      <c r="E258" t="str">
        <f>"080069621688"</f>
        <v>080069621688</v>
      </c>
      <c r="F258" s="3">
        <v>45993</v>
      </c>
      <c r="G258">
        <v>202609</v>
      </c>
      <c r="H258" t="s">
        <v>75</v>
      </c>
      <c r="I258" t="s">
        <v>76</v>
      </c>
      <c r="J258" t="s">
        <v>77</v>
      </c>
      <c r="K258" t="s">
        <v>78</v>
      </c>
      <c r="L258" t="s">
        <v>141</v>
      </c>
      <c r="M258" t="s">
        <v>142</v>
      </c>
      <c r="N258" t="s">
        <v>587</v>
      </c>
      <c r="O258" t="s">
        <v>89</v>
      </c>
      <c r="P258" t="str">
        <f>"4170071416                    "</f>
        <v xml:space="preserve">4170071416                    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22.24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0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1</v>
      </c>
      <c r="BI258">
        <v>1</v>
      </c>
      <c r="BJ258">
        <v>1.4</v>
      </c>
      <c r="BK258">
        <v>1.5</v>
      </c>
      <c r="BL258">
        <v>72.78</v>
      </c>
      <c r="BM258">
        <v>10.92</v>
      </c>
      <c r="BN258">
        <v>83.7</v>
      </c>
      <c r="BO258">
        <v>83.7</v>
      </c>
      <c r="BQ258" t="s">
        <v>588</v>
      </c>
      <c r="BR258" t="s">
        <v>82</v>
      </c>
      <c r="BS258" s="3">
        <v>45994</v>
      </c>
      <c r="BT258" s="4">
        <v>0.42222222222222222</v>
      </c>
      <c r="BU258" t="s">
        <v>611</v>
      </c>
      <c r="BV258" t="s">
        <v>84</v>
      </c>
      <c r="BY258">
        <v>7000</v>
      </c>
      <c r="CA258" t="s">
        <v>571</v>
      </c>
      <c r="CC258" t="s">
        <v>142</v>
      </c>
      <c r="CD258">
        <v>6001</v>
      </c>
      <c r="CE258" t="s">
        <v>86</v>
      </c>
      <c r="CF258" s="3">
        <v>45994</v>
      </c>
      <c r="CI258">
        <v>1</v>
      </c>
      <c r="CJ258">
        <v>1</v>
      </c>
      <c r="CK258">
        <v>21</v>
      </c>
      <c r="CL258" t="s">
        <v>87</v>
      </c>
    </row>
    <row r="259" spans="1:90" x14ac:dyDescent="0.3">
      <c r="A259" t="s">
        <v>72</v>
      </c>
      <c r="B259" t="s">
        <v>73</v>
      </c>
      <c r="C259" t="s">
        <v>74</v>
      </c>
      <c r="E259" t="str">
        <f>"080069621718"</f>
        <v>080069621718</v>
      </c>
      <c r="F259" s="3">
        <v>45993</v>
      </c>
      <c r="G259">
        <v>202609</v>
      </c>
      <c r="H259" t="s">
        <v>75</v>
      </c>
      <c r="I259" t="s">
        <v>76</v>
      </c>
      <c r="J259" t="s">
        <v>77</v>
      </c>
      <c r="K259" t="s">
        <v>78</v>
      </c>
      <c r="L259" t="s">
        <v>141</v>
      </c>
      <c r="M259" t="s">
        <v>142</v>
      </c>
      <c r="N259" t="s">
        <v>587</v>
      </c>
      <c r="O259" t="s">
        <v>89</v>
      </c>
      <c r="P259" t="str">
        <f>"4170071408                    "</f>
        <v xml:space="preserve">4170071408                    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0</v>
      </c>
      <c r="AJ259">
        <v>0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22.24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0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1</v>
      </c>
      <c r="BI259">
        <v>1</v>
      </c>
      <c r="BJ259">
        <v>1.1000000000000001</v>
      </c>
      <c r="BK259">
        <v>1.5</v>
      </c>
      <c r="BL259">
        <v>72.78</v>
      </c>
      <c r="BM259">
        <v>10.92</v>
      </c>
      <c r="BN259">
        <v>83.7</v>
      </c>
      <c r="BO259">
        <v>83.7</v>
      </c>
      <c r="BQ259" t="s">
        <v>588</v>
      </c>
      <c r="BR259" t="s">
        <v>82</v>
      </c>
      <c r="BS259" s="3">
        <v>45994</v>
      </c>
      <c r="BT259" s="4">
        <v>0.42222222222222222</v>
      </c>
      <c r="BU259" t="s">
        <v>611</v>
      </c>
      <c r="BV259" t="s">
        <v>84</v>
      </c>
      <c r="BY259">
        <v>5510</v>
      </c>
      <c r="CA259" t="s">
        <v>571</v>
      </c>
      <c r="CC259" t="s">
        <v>142</v>
      </c>
      <c r="CD259">
        <v>6001</v>
      </c>
      <c r="CE259" t="s">
        <v>86</v>
      </c>
      <c r="CF259" s="3">
        <v>45994</v>
      </c>
      <c r="CI259">
        <v>1</v>
      </c>
      <c r="CJ259">
        <v>1</v>
      </c>
      <c r="CK259">
        <v>21</v>
      </c>
      <c r="CL259" t="s">
        <v>87</v>
      </c>
    </row>
    <row r="260" spans="1:90" x14ac:dyDescent="0.3">
      <c r="A260" t="s">
        <v>72</v>
      </c>
      <c r="B260" t="s">
        <v>73</v>
      </c>
      <c r="C260" t="s">
        <v>74</v>
      </c>
      <c r="E260" t="str">
        <f>"080069621752"</f>
        <v>080069621752</v>
      </c>
      <c r="F260" s="3">
        <v>45993</v>
      </c>
      <c r="G260">
        <v>202609</v>
      </c>
      <c r="H260" t="s">
        <v>75</v>
      </c>
      <c r="I260" t="s">
        <v>76</v>
      </c>
      <c r="J260" t="s">
        <v>77</v>
      </c>
      <c r="K260" t="s">
        <v>78</v>
      </c>
      <c r="L260" t="s">
        <v>156</v>
      </c>
      <c r="M260" t="s">
        <v>157</v>
      </c>
      <c r="N260" t="s">
        <v>261</v>
      </c>
      <c r="O260" t="s">
        <v>89</v>
      </c>
      <c r="P260" t="str">
        <f>"4170071516                    "</f>
        <v xml:space="preserve">4170071516                    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0</v>
      </c>
      <c r="AG260">
        <v>0</v>
      </c>
      <c r="AH260">
        <v>0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22.24</v>
      </c>
      <c r="AR260">
        <v>0</v>
      </c>
      <c r="AS260">
        <v>0</v>
      </c>
      <c r="AT260">
        <v>0</v>
      </c>
      <c r="AU260">
        <v>0</v>
      </c>
      <c r="AV260">
        <v>0</v>
      </c>
      <c r="AW260">
        <v>0</v>
      </c>
      <c r="AX260">
        <v>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1</v>
      </c>
      <c r="BI260">
        <v>1</v>
      </c>
      <c r="BJ260">
        <v>0.9</v>
      </c>
      <c r="BK260">
        <v>1</v>
      </c>
      <c r="BL260">
        <v>72.78</v>
      </c>
      <c r="BM260">
        <v>10.92</v>
      </c>
      <c r="BN260">
        <v>83.7</v>
      </c>
      <c r="BO260">
        <v>83.7</v>
      </c>
      <c r="BQ260" t="s">
        <v>262</v>
      </c>
      <c r="BR260" t="s">
        <v>82</v>
      </c>
      <c r="BS260" s="3">
        <v>45994</v>
      </c>
      <c r="BT260" s="4">
        <v>0.41249999999999998</v>
      </c>
      <c r="BU260" t="s">
        <v>832</v>
      </c>
      <c r="BV260" t="s">
        <v>84</v>
      </c>
      <c r="BY260">
        <v>4275</v>
      </c>
      <c r="CA260" t="s">
        <v>833</v>
      </c>
      <c r="CC260" t="s">
        <v>157</v>
      </c>
      <c r="CD260">
        <v>7441</v>
      </c>
      <c r="CE260" t="s">
        <v>86</v>
      </c>
      <c r="CF260" s="3">
        <v>45995</v>
      </c>
      <c r="CI260">
        <v>1</v>
      </c>
      <c r="CJ260">
        <v>1</v>
      </c>
      <c r="CK260">
        <v>21</v>
      </c>
      <c r="CL260" t="s">
        <v>87</v>
      </c>
    </row>
    <row r="261" spans="1:90" x14ac:dyDescent="0.3">
      <c r="A261" t="s">
        <v>72</v>
      </c>
      <c r="B261" t="s">
        <v>73</v>
      </c>
      <c r="C261" t="s">
        <v>74</v>
      </c>
      <c r="E261" t="str">
        <f>"080069621797"</f>
        <v>080069621797</v>
      </c>
      <c r="F261" s="3">
        <v>45993</v>
      </c>
      <c r="G261">
        <v>202609</v>
      </c>
      <c r="H261" t="s">
        <v>75</v>
      </c>
      <c r="I261" t="s">
        <v>76</v>
      </c>
      <c r="J261" t="s">
        <v>77</v>
      </c>
      <c r="K261" t="s">
        <v>78</v>
      </c>
      <c r="L261" t="s">
        <v>283</v>
      </c>
      <c r="M261" t="s">
        <v>284</v>
      </c>
      <c r="N261" t="s">
        <v>285</v>
      </c>
      <c r="O261" t="s">
        <v>89</v>
      </c>
      <c r="P261" t="str">
        <f>"4170071482                    "</f>
        <v xml:space="preserve">4170071482                    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0</v>
      </c>
      <c r="AJ261">
        <v>0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43.09</v>
      </c>
      <c r="AR261">
        <v>0</v>
      </c>
      <c r="AS261">
        <v>0</v>
      </c>
      <c r="AT261">
        <v>0</v>
      </c>
      <c r="AU261">
        <v>0</v>
      </c>
      <c r="AV261">
        <v>0</v>
      </c>
      <c r="AW261">
        <v>0</v>
      </c>
      <c r="AX261">
        <v>0</v>
      </c>
      <c r="AY261">
        <v>0</v>
      </c>
      <c r="AZ261">
        <v>0</v>
      </c>
      <c r="BA261">
        <v>0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1</v>
      </c>
      <c r="BI261">
        <v>1</v>
      </c>
      <c r="BJ261">
        <v>0.2</v>
      </c>
      <c r="BK261">
        <v>1</v>
      </c>
      <c r="BL261">
        <v>141.02000000000001</v>
      </c>
      <c r="BM261">
        <v>21.15</v>
      </c>
      <c r="BN261">
        <v>162.16999999999999</v>
      </c>
      <c r="BO261">
        <v>162.16999999999999</v>
      </c>
      <c r="BQ261" t="s">
        <v>286</v>
      </c>
      <c r="BR261" t="s">
        <v>82</v>
      </c>
      <c r="BS261" s="3">
        <v>45994</v>
      </c>
      <c r="BT261" s="4">
        <v>0.36319444444444443</v>
      </c>
      <c r="BU261" t="s">
        <v>287</v>
      </c>
      <c r="BV261" t="s">
        <v>84</v>
      </c>
      <c r="BY261">
        <v>1200</v>
      </c>
      <c r="CA261">
        <v>6805135560080</v>
      </c>
      <c r="CC261" t="s">
        <v>284</v>
      </c>
      <c r="CD261">
        <v>1947</v>
      </c>
      <c r="CE261" t="s">
        <v>134</v>
      </c>
      <c r="CF261" s="3">
        <v>45995</v>
      </c>
      <c r="CI261">
        <v>1</v>
      </c>
      <c r="CJ261">
        <v>1</v>
      </c>
      <c r="CK261">
        <v>23</v>
      </c>
      <c r="CL261" t="s">
        <v>87</v>
      </c>
    </row>
    <row r="262" spans="1:90" x14ac:dyDescent="0.3">
      <c r="A262" t="s">
        <v>72</v>
      </c>
      <c r="B262" t="s">
        <v>73</v>
      </c>
      <c r="C262" t="s">
        <v>74</v>
      </c>
      <c r="E262" t="str">
        <f>"080069622263"</f>
        <v>080069622263</v>
      </c>
      <c r="F262" s="3">
        <v>45993</v>
      </c>
      <c r="G262">
        <v>202609</v>
      </c>
      <c r="H262" t="s">
        <v>75</v>
      </c>
      <c r="I262" t="s">
        <v>76</v>
      </c>
      <c r="J262" t="s">
        <v>77</v>
      </c>
      <c r="K262" t="s">
        <v>78</v>
      </c>
      <c r="L262" t="s">
        <v>302</v>
      </c>
      <c r="M262" t="s">
        <v>303</v>
      </c>
      <c r="N262" t="s">
        <v>834</v>
      </c>
      <c r="O262" t="s">
        <v>89</v>
      </c>
      <c r="P262" t="str">
        <f>"4170071505                    "</f>
        <v xml:space="preserve">4170071505                    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0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22.24</v>
      </c>
      <c r="AR262">
        <v>0</v>
      </c>
      <c r="AS262">
        <v>0</v>
      </c>
      <c r="AT262">
        <v>0</v>
      </c>
      <c r="AU262">
        <v>0</v>
      </c>
      <c r="AV262">
        <v>0</v>
      </c>
      <c r="AW262">
        <v>0</v>
      </c>
      <c r="AX262">
        <v>0</v>
      </c>
      <c r="AY262">
        <v>0</v>
      </c>
      <c r="AZ262">
        <v>0</v>
      </c>
      <c r="BA262">
        <v>0</v>
      </c>
      <c r="BB262">
        <v>0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1</v>
      </c>
      <c r="BI262">
        <v>1</v>
      </c>
      <c r="BJ262">
        <v>1.8</v>
      </c>
      <c r="BK262">
        <v>2</v>
      </c>
      <c r="BL262">
        <v>72.78</v>
      </c>
      <c r="BM262">
        <v>10.92</v>
      </c>
      <c r="BN262">
        <v>83.7</v>
      </c>
      <c r="BO262">
        <v>83.7</v>
      </c>
      <c r="BQ262" t="s">
        <v>835</v>
      </c>
      <c r="BR262" t="s">
        <v>82</v>
      </c>
      <c r="BS262" s="3">
        <v>45994</v>
      </c>
      <c r="BT262" s="4">
        <v>0.38333333333333336</v>
      </c>
      <c r="BU262" t="s">
        <v>663</v>
      </c>
      <c r="BV262" t="s">
        <v>84</v>
      </c>
      <c r="BY262">
        <v>9100</v>
      </c>
      <c r="CA262">
        <v>8303236124087</v>
      </c>
      <c r="CC262" t="s">
        <v>303</v>
      </c>
      <c r="CD262" s="5" t="s">
        <v>836</v>
      </c>
      <c r="CE262" t="s">
        <v>93</v>
      </c>
      <c r="CF262" s="3">
        <v>45994</v>
      </c>
      <c r="CI262">
        <v>1</v>
      </c>
      <c r="CJ262">
        <v>1</v>
      </c>
      <c r="CK262">
        <v>21</v>
      </c>
      <c r="CL262" t="s">
        <v>87</v>
      </c>
    </row>
    <row r="263" spans="1:90" x14ac:dyDescent="0.3">
      <c r="A263" t="s">
        <v>72</v>
      </c>
      <c r="B263" t="s">
        <v>73</v>
      </c>
      <c r="C263" t="s">
        <v>74</v>
      </c>
      <c r="E263" t="str">
        <f>"080069622267"</f>
        <v>080069622267</v>
      </c>
      <c r="F263" s="3">
        <v>45993</v>
      </c>
      <c r="G263">
        <v>202609</v>
      </c>
      <c r="H263" t="s">
        <v>75</v>
      </c>
      <c r="I263" t="s">
        <v>76</v>
      </c>
      <c r="J263" t="s">
        <v>77</v>
      </c>
      <c r="K263" t="s">
        <v>78</v>
      </c>
      <c r="L263" t="s">
        <v>100</v>
      </c>
      <c r="M263" t="s">
        <v>101</v>
      </c>
      <c r="N263" t="s">
        <v>837</v>
      </c>
      <c r="O263" t="s">
        <v>89</v>
      </c>
      <c r="P263" t="str">
        <f>"4170071502                    "</f>
        <v xml:space="preserve">4170071502                    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0</v>
      </c>
      <c r="AG263">
        <v>0</v>
      </c>
      <c r="AH263">
        <v>0</v>
      </c>
      <c r="AI263">
        <v>0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22.24</v>
      </c>
      <c r="AR263">
        <v>0</v>
      </c>
      <c r="AS263">
        <v>0</v>
      </c>
      <c r="AT263">
        <v>0</v>
      </c>
      <c r="AU263">
        <v>0</v>
      </c>
      <c r="AV263">
        <v>0</v>
      </c>
      <c r="AW263">
        <v>0</v>
      </c>
      <c r="AX263">
        <v>0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1</v>
      </c>
      <c r="BI263">
        <v>1</v>
      </c>
      <c r="BJ263">
        <v>0.2</v>
      </c>
      <c r="BK263">
        <v>1</v>
      </c>
      <c r="BL263">
        <v>72.78</v>
      </c>
      <c r="BM263">
        <v>10.92</v>
      </c>
      <c r="BN263">
        <v>83.7</v>
      </c>
      <c r="BO263">
        <v>83.7</v>
      </c>
      <c r="BQ263" t="s">
        <v>838</v>
      </c>
      <c r="BR263" t="s">
        <v>82</v>
      </c>
      <c r="BS263" s="3">
        <v>45994</v>
      </c>
      <c r="BT263" s="4">
        <v>0.52083333333333337</v>
      </c>
      <c r="BU263" t="s">
        <v>839</v>
      </c>
      <c r="BV263" t="s">
        <v>87</v>
      </c>
      <c r="BW263" t="s">
        <v>246</v>
      </c>
      <c r="BX263" t="s">
        <v>247</v>
      </c>
      <c r="BY263">
        <v>1200</v>
      </c>
      <c r="CA263" t="s">
        <v>248</v>
      </c>
      <c r="CC263" t="s">
        <v>101</v>
      </c>
      <c r="CD263">
        <v>4080</v>
      </c>
      <c r="CE263" t="s">
        <v>134</v>
      </c>
      <c r="CF263" s="3">
        <v>45994</v>
      </c>
      <c r="CI263">
        <v>1</v>
      </c>
      <c r="CJ263">
        <v>1</v>
      </c>
      <c r="CK263">
        <v>21</v>
      </c>
      <c r="CL263" t="s">
        <v>87</v>
      </c>
    </row>
    <row r="264" spans="1:90" x14ac:dyDescent="0.3">
      <c r="A264" t="s">
        <v>72</v>
      </c>
      <c r="B264" t="s">
        <v>73</v>
      </c>
      <c r="C264" t="s">
        <v>74</v>
      </c>
      <c r="E264" t="str">
        <f>"080069622289"</f>
        <v>080069622289</v>
      </c>
      <c r="F264" s="3">
        <v>45993</v>
      </c>
      <c r="G264">
        <v>202609</v>
      </c>
      <c r="H264" t="s">
        <v>75</v>
      </c>
      <c r="I264" t="s">
        <v>76</v>
      </c>
      <c r="J264" t="s">
        <v>77</v>
      </c>
      <c r="K264" t="s">
        <v>78</v>
      </c>
      <c r="L264" t="s">
        <v>141</v>
      </c>
      <c r="M264" t="s">
        <v>142</v>
      </c>
      <c r="N264" t="s">
        <v>840</v>
      </c>
      <c r="O264" t="s">
        <v>89</v>
      </c>
      <c r="P264" t="str">
        <f>"4170071524                    "</f>
        <v xml:space="preserve">4170071524                    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22.24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0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1</v>
      </c>
      <c r="BI264">
        <v>1</v>
      </c>
      <c r="BJ264">
        <v>0.2</v>
      </c>
      <c r="BK264">
        <v>1</v>
      </c>
      <c r="BL264">
        <v>72.78</v>
      </c>
      <c r="BM264">
        <v>10.92</v>
      </c>
      <c r="BN264">
        <v>83.7</v>
      </c>
      <c r="BO264">
        <v>83.7</v>
      </c>
      <c r="BQ264" t="s">
        <v>841</v>
      </c>
      <c r="BR264" t="s">
        <v>82</v>
      </c>
      <c r="BS264" s="3">
        <v>45994</v>
      </c>
      <c r="BT264" s="4">
        <v>0.40416666666666667</v>
      </c>
      <c r="BU264" t="s">
        <v>842</v>
      </c>
      <c r="BV264" t="s">
        <v>84</v>
      </c>
      <c r="BY264">
        <v>1200</v>
      </c>
      <c r="CA264" t="s">
        <v>146</v>
      </c>
      <c r="CC264" t="s">
        <v>142</v>
      </c>
      <c r="CD264">
        <v>6001</v>
      </c>
      <c r="CE264" t="s">
        <v>134</v>
      </c>
      <c r="CF264" s="3">
        <v>45994</v>
      </c>
      <c r="CI264">
        <v>1</v>
      </c>
      <c r="CJ264">
        <v>1</v>
      </c>
      <c r="CK264">
        <v>21</v>
      </c>
      <c r="CL264" t="s">
        <v>87</v>
      </c>
    </row>
    <row r="265" spans="1:90" x14ac:dyDescent="0.3">
      <c r="A265" t="s">
        <v>72</v>
      </c>
      <c r="B265" t="s">
        <v>73</v>
      </c>
      <c r="C265" t="s">
        <v>74</v>
      </c>
      <c r="E265" t="str">
        <f>"080069622306"</f>
        <v>080069622306</v>
      </c>
      <c r="F265" s="3">
        <v>45993</v>
      </c>
      <c r="G265">
        <v>202609</v>
      </c>
      <c r="H265" t="s">
        <v>75</v>
      </c>
      <c r="I265" t="s">
        <v>76</v>
      </c>
      <c r="J265" t="s">
        <v>77</v>
      </c>
      <c r="K265" t="s">
        <v>78</v>
      </c>
      <c r="L265" t="s">
        <v>75</v>
      </c>
      <c r="M265" t="s">
        <v>76</v>
      </c>
      <c r="N265" t="s">
        <v>79</v>
      </c>
      <c r="O265" t="s">
        <v>89</v>
      </c>
      <c r="P265" t="str">
        <f>"4170071479                    "</f>
        <v xml:space="preserve">4170071479                    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  <c r="AJ265">
        <v>0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17.37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0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1</v>
      </c>
      <c r="BI265">
        <v>1</v>
      </c>
      <c r="BJ265">
        <v>0.2</v>
      </c>
      <c r="BK265">
        <v>1</v>
      </c>
      <c r="BL265">
        <v>56.85</v>
      </c>
      <c r="BM265">
        <v>8.5299999999999994</v>
      </c>
      <c r="BN265">
        <v>65.38</v>
      </c>
      <c r="BO265">
        <v>65.38</v>
      </c>
      <c r="BQ265" t="s">
        <v>81</v>
      </c>
      <c r="BR265" t="s">
        <v>82</v>
      </c>
      <c r="BS265" s="3">
        <v>45994</v>
      </c>
      <c r="BT265" s="4">
        <v>0.41458333333333336</v>
      </c>
      <c r="BU265" t="s">
        <v>83</v>
      </c>
      <c r="BV265" t="s">
        <v>84</v>
      </c>
      <c r="BY265">
        <v>1200</v>
      </c>
      <c r="CA265" t="s">
        <v>85</v>
      </c>
      <c r="CC265" t="s">
        <v>76</v>
      </c>
      <c r="CD265">
        <v>1619</v>
      </c>
      <c r="CE265" t="s">
        <v>134</v>
      </c>
      <c r="CF265" s="3">
        <v>45994</v>
      </c>
      <c r="CI265">
        <v>1</v>
      </c>
      <c r="CJ265">
        <v>1</v>
      </c>
      <c r="CK265">
        <v>22</v>
      </c>
      <c r="CL265" t="s">
        <v>87</v>
      </c>
    </row>
    <row r="266" spans="1:90" x14ac:dyDescent="0.3">
      <c r="A266" t="s">
        <v>72</v>
      </c>
      <c r="B266" t="s">
        <v>73</v>
      </c>
      <c r="C266" t="s">
        <v>74</v>
      </c>
      <c r="E266" t="str">
        <f>"080069622333"</f>
        <v>080069622333</v>
      </c>
      <c r="F266" s="3">
        <v>45993</v>
      </c>
      <c r="G266">
        <v>202609</v>
      </c>
      <c r="H266" t="s">
        <v>75</v>
      </c>
      <c r="I266" t="s">
        <v>76</v>
      </c>
      <c r="J266" t="s">
        <v>77</v>
      </c>
      <c r="K266" t="s">
        <v>78</v>
      </c>
      <c r="L266" t="s">
        <v>156</v>
      </c>
      <c r="M266" t="s">
        <v>157</v>
      </c>
      <c r="N266" t="s">
        <v>634</v>
      </c>
      <c r="O266" t="s">
        <v>89</v>
      </c>
      <c r="P266" t="str">
        <f>"4170071529                    "</f>
        <v xml:space="preserve">4170071529                    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G266">
        <v>0</v>
      </c>
      <c r="AH266">
        <v>0</v>
      </c>
      <c r="AI266">
        <v>0</v>
      </c>
      <c r="AJ266">
        <v>0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22.24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0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1</v>
      </c>
      <c r="BI266">
        <v>1</v>
      </c>
      <c r="BJ266">
        <v>0.2</v>
      </c>
      <c r="BK266">
        <v>1</v>
      </c>
      <c r="BL266">
        <v>72.78</v>
      </c>
      <c r="BM266">
        <v>10.92</v>
      </c>
      <c r="BN266">
        <v>83.7</v>
      </c>
      <c r="BO266">
        <v>83.7</v>
      </c>
      <c r="BQ266" t="s">
        <v>635</v>
      </c>
      <c r="BR266" t="s">
        <v>82</v>
      </c>
      <c r="BS266" s="3">
        <v>46001</v>
      </c>
      <c r="BT266" s="4">
        <v>0.48888888888888887</v>
      </c>
      <c r="BU266" t="s">
        <v>843</v>
      </c>
      <c r="BV266" t="s">
        <v>87</v>
      </c>
      <c r="BW266" t="s">
        <v>153</v>
      </c>
      <c r="BX266" t="s">
        <v>161</v>
      </c>
      <c r="BY266">
        <v>1200</v>
      </c>
      <c r="CA266" t="s">
        <v>844</v>
      </c>
      <c r="CC266" t="s">
        <v>157</v>
      </c>
      <c r="CD266">
        <v>7535</v>
      </c>
      <c r="CE266" t="s">
        <v>134</v>
      </c>
      <c r="CF266" s="3">
        <v>46003</v>
      </c>
      <c r="CI266">
        <v>1</v>
      </c>
      <c r="CJ266">
        <v>6</v>
      </c>
      <c r="CK266">
        <v>21</v>
      </c>
      <c r="CL266" t="s">
        <v>87</v>
      </c>
    </row>
    <row r="267" spans="1:90" x14ac:dyDescent="0.3">
      <c r="A267" t="s">
        <v>72</v>
      </c>
      <c r="B267" t="s">
        <v>73</v>
      </c>
      <c r="C267" t="s">
        <v>74</v>
      </c>
      <c r="E267" t="str">
        <f>"080069622381"</f>
        <v>080069622381</v>
      </c>
      <c r="F267" s="3">
        <v>45993</v>
      </c>
      <c r="G267">
        <v>202609</v>
      </c>
      <c r="H267" t="s">
        <v>75</v>
      </c>
      <c r="I267" t="s">
        <v>76</v>
      </c>
      <c r="J267" t="s">
        <v>77</v>
      </c>
      <c r="K267" t="s">
        <v>78</v>
      </c>
      <c r="L267" t="s">
        <v>141</v>
      </c>
      <c r="M267" t="s">
        <v>142</v>
      </c>
      <c r="N267" t="s">
        <v>738</v>
      </c>
      <c r="O267" t="s">
        <v>89</v>
      </c>
      <c r="P267" t="str">
        <f>"4170071518                    "</f>
        <v xml:space="preserve">4170071518                    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0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22.24</v>
      </c>
      <c r="AR267">
        <v>0</v>
      </c>
      <c r="AS267">
        <v>0</v>
      </c>
      <c r="AT267">
        <v>0</v>
      </c>
      <c r="AU267">
        <v>0</v>
      </c>
      <c r="AV267">
        <v>0</v>
      </c>
      <c r="AW267">
        <v>0</v>
      </c>
      <c r="AX267">
        <v>0</v>
      </c>
      <c r="AY267">
        <v>0</v>
      </c>
      <c r="AZ267">
        <v>0</v>
      </c>
      <c r="BA267">
        <v>0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1</v>
      </c>
      <c r="BI267">
        <v>1</v>
      </c>
      <c r="BJ267">
        <v>0.2</v>
      </c>
      <c r="BK267">
        <v>1</v>
      </c>
      <c r="BL267">
        <v>72.78</v>
      </c>
      <c r="BM267">
        <v>10.92</v>
      </c>
      <c r="BN267">
        <v>83.7</v>
      </c>
      <c r="BO267">
        <v>83.7</v>
      </c>
      <c r="BQ267" t="s">
        <v>739</v>
      </c>
      <c r="BR267" t="s">
        <v>82</v>
      </c>
      <c r="BS267" s="3">
        <v>45994</v>
      </c>
      <c r="BT267" s="4">
        <v>0.42986111111111114</v>
      </c>
      <c r="BU267" t="s">
        <v>740</v>
      </c>
      <c r="BV267" t="s">
        <v>84</v>
      </c>
      <c r="BY267">
        <v>1200</v>
      </c>
      <c r="CA267" t="s">
        <v>277</v>
      </c>
      <c r="CC267" t="s">
        <v>142</v>
      </c>
      <c r="CD267">
        <v>6001</v>
      </c>
      <c r="CE267" t="s">
        <v>134</v>
      </c>
      <c r="CF267" s="3">
        <v>45994</v>
      </c>
      <c r="CI267">
        <v>1</v>
      </c>
      <c r="CJ267">
        <v>1</v>
      </c>
      <c r="CK267">
        <v>21</v>
      </c>
      <c r="CL267" t="s">
        <v>87</v>
      </c>
    </row>
    <row r="268" spans="1:90" x14ac:dyDescent="0.3">
      <c r="A268" t="s">
        <v>72</v>
      </c>
      <c r="B268" t="s">
        <v>73</v>
      </c>
      <c r="C268" t="s">
        <v>74</v>
      </c>
      <c r="E268" t="str">
        <f>"080069622397"</f>
        <v>080069622397</v>
      </c>
      <c r="F268" s="3">
        <v>45993</v>
      </c>
      <c r="G268">
        <v>202609</v>
      </c>
      <c r="H268" t="s">
        <v>75</v>
      </c>
      <c r="I268" t="s">
        <v>76</v>
      </c>
      <c r="J268" t="s">
        <v>77</v>
      </c>
      <c r="K268" t="s">
        <v>78</v>
      </c>
      <c r="L268" t="s">
        <v>141</v>
      </c>
      <c r="M268" t="s">
        <v>142</v>
      </c>
      <c r="N268" t="s">
        <v>738</v>
      </c>
      <c r="O268" t="s">
        <v>89</v>
      </c>
      <c r="P268" t="str">
        <f>"4170071514                    "</f>
        <v xml:space="preserve">4170071514                    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22.24</v>
      </c>
      <c r="AR268">
        <v>0</v>
      </c>
      <c r="AS268">
        <v>0</v>
      </c>
      <c r="AT268">
        <v>0</v>
      </c>
      <c r="AU268">
        <v>0</v>
      </c>
      <c r="AV268">
        <v>0</v>
      </c>
      <c r="AW268">
        <v>0</v>
      </c>
      <c r="AX268">
        <v>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1</v>
      </c>
      <c r="BI268">
        <v>1</v>
      </c>
      <c r="BJ268">
        <v>0.2</v>
      </c>
      <c r="BK268">
        <v>1</v>
      </c>
      <c r="BL268">
        <v>72.78</v>
      </c>
      <c r="BM268">
        <v>10.92</v>
      </c>
      <c r="BN268">
        <v>83.7</v>
      </c>
      <c r="BO268">
        <v>83.7</v>
      </c>
      <c r="BQ268" t="s">
        <v>739</v>
      </c>
      <c r="BR268" t="s">
        <v>82</v>
      </c>
      <c r="BS268" s="3">
        <v>45994</v>
      </c>
      <c r="BT268" s="4">
        <v>0.42986111111111114</v>
      </c>
      <c r="BU268" t="s">
        <v>740</v>
      </c>
      <c r="BV268" t="s">
        <v>84</v>
      </c>
      <c r="BY268">
        <v>1200</v>
      </c>
      <c r="CA268" t="s">
        <v>277</v>
      </c>
      <c r="CC268" t="s">
        <v>142</v>
      </c>
      <c r="CD268">
        <v>6001</v>
      </c>
      <c r="CE268" t="s">
        <v>134</v>
      </c>
      <c r="CF268" s="3">
        <v>45994</v>
      </c>
      <c r="CI268">
        <v>1</v>
      </c>
      <c r="CJ268">
        <v>1</v>
      </c>
      <c r="CK268">
        <v>21</v>
      </c>
      <c r="CL268" t="s">
        <v>87</v>
      </c>
    </row>
    <row r="269" spans="1:90" x14ac:dyDescent="0.3">
      <c r="A269" t="s">
        <v>72</v>
      </c>
      <c r="B269" t="s">
        <v>73</v>
      </c>
      <c r="C269" t="s">
        <v>74</v>
      </c>
      <c r="E269" t="str">
        <f>"080069622408"</f>
        <v>080069622408</v>
      </c>
      <c r="F269" s="3">
        <v>45993</v>
      </c>
      <c r="G269">
        <v>202609</v>
      </c>
      <c r="H269" t="s">
        <v>75</v>
      </c>
      <c r="I269" t="s">
        <v>76</v>
      </c>
      <c r="J269" t="s">
        <v>77</v>
      </c>
      <c r="K269" t="s">
        <v>78</v>
      </c>
      <c r="L269" t="s">
        <v>94</v>
      </c>
      <c r="M269" t="s">
        <v>95</v>
      </c>
      <c r="N269" t="s">
        <v>804</v>
      </c>
      <c r="O269" t="s">
        <v>89</v>
      </c>
      <c r="P269" t="str">
        <f>"4170071498                    "</f>
        <v xml:space="preserve">4170071498                    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22.24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0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1</v>
      </c>
      <c r="BI269">
        <v>1</v>
      </c>
      <c r="BJ269">
        <v>0.2</v>
      </c>
      <c r="BK269">
        <v>1</v>
      </c>
      <c r="BL269">
        <v>72.78</v>
      </c>
      <c r="BM269">
        <v>10.92</v>
      </c>
      <c r="BN269">
        <v>83.7</v>
      </c>
      <c r="BO269">
        <v>83.7</v>
      </c>
      <c r="BQ269" t="s">
        <v>805</v>
      </c>
      <c r="BR269" t="s">
        <v>82</v>
      </c>
      <c r="BS269" s="3">
        <v>45994</v>
      </c>
      <c r="BT269" s="4">
        <v>0.40208333333333335</v>
      </c>
      <c r="BU269" t="s">
        <v>806</v>
      </c>
      <c r="BV269" t="s">
        <v>84</v>
      </c>
      <c r="BY269">
        <v>1200</v>
      </c>
      <c r="CA269" t="s">
        <v>99</v>
      </c>
      <c r="CC269" t="s">
        <v>95</v>
      </c>
      <c r="CD269">
        <v>3600</v>
      </c>
      <c r="CE269" t="s">
        <v>134</v>
      </c>
      <c r="CF269" s="3">
        <v>45994</v>
      </c>
      <c r="CI269">
        <v>1</v>
      </c>
      <c r="CJ269">
        <v>1</v>
      </c>
      <c r="CK269">
        <v>21</v>
      </c>
      <c r="CL269" t="s">
        <v>87</v>
      </c>
    </row>
    <row r="270" spans="1:90" x14ac:dyDescent="0.3">
      <c r="A270" t="s">
        <v>72</v>
      </c>
      <c r="B270" t="s">
        <v>73</v>
      </c>
      <c r="C270" t="s">
        <v>74</v>
      </c>
      <c r="E270" t="str">
        <f>"080069622443"</f>
        <v>080069622443</v>
      </c>
      <c r="F270" s="3">
        <v>45993</v>
      </c>
      <c r="G270">
        <v>202609</v>
      </c>
      <c r="H270" t="s">
        <v>75</v>
      </c>
      <c r="I270" t="s">
        <v>76</v>
      </c>
      <c r="J270" t="s">
        <v>77</v>
      </c>
      <c r="K270" t="s">
        <v>78</v>
      </c>
      <c r="L270" t="s">
        <v>141</v>
      </c>
      <c r="M270" t="s">
        <v>142</v>
      </c>
      <c r="N270" t="s">
        <v>845</v>
      </c>
      <c r="O270" t="s">
        <v>89</v>
      </c>
      <c r="P270" t="str">
        <f>"4170071528                    "</f>
        <v xml:space="preserve">4170071528                    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22.24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1</v>
      </c>
      <c r="BI270">
        <v>1</v>
      </c>
      <c r="BJ270">
        <v>0.2</v>
      </c>
      <c r="BK270">
        <v>1</v>
      </c>
      <c r="BL270">
        <v>72.78</v>
      </c>
      <c r="BM270">
        <v>10.92</v>
      </c>
      <c r="BN270">
        <v>83.7</v>
      </c>
      <c r="BO270">
        <v>83.7</v>
      </c>
      <c r="BQ270" t="s">
        <v>846</v>
      </c>
      <c r="BR270" t="s">
        <v>82</v>
      </c>
      <c r="BS270" s="3">
        <v>45994</v>
      </c>
      <c r="BT270" s="4">
        <v>0.35972222222222222</v>
      </c>
      <c r="BU270" t="s">
        <v>847</v>
      </c>
      <c r="BV270" t="s">
        <v>84</v>
      </c>
      <c r="BY270">
        <v>1200</v>
      </c>
      <c r="CA270" t="s">
        <v>146</v>
      </c>
      <c r="CC270" t="s">
        <v>142</v>
      </c>
      <c r="CD270">
        <v>6045</v>
      </c>
      <c r="CE270" t="s">
        <v>134</v>
      </c>
      <c r="CF270" s="3">
        <v>45994</v>
      </c>
      <c r="CI270">
        <v>1</v>
      </c>
      <c r="CJ270">
        <v>1</v>
      </c>
      <c r="CK270">
        <v>21</v>
      </c>
      <c r="CL270" t="s">
        <v>87</v>
      </c>
    </row>
    <row r="271" spans="1:90" x14ac:dyDescent="0.3">
      <c r="A271" t="s">
        <v>72</v>
      </c>
      <c r="B271" t="s">
        <v>73</v>
      </c>
      <c r="C271" t="s">
        <v>74</v>
      </c>
      <c r="E271" t="str">
        <f>"080069622509"</f>
        <v>080069622509</v>
      </c>
      <c r="F271" s="3">
        <v>45993</v>
      </c>
      <c r="G271">
        <v>202609</v>
      </c>
      <c r="H271" t="s">
        <v>75</v>
      </c>
      <c r="I271" t="s">
        <v>76</v>
      </c>
      <c r="J271" t="s">
        <v>77</v>
      </c>
      <c r="K271" t="s">
        <v>78</v>
      </c>
      <c r="L271" t="s">
        <v>141</v>
      </c>
      <c r="M271" t="s">
        <v>142</v>
      </c>
      <c r="N271" t="s">
        <v>798</v>
      </c>
      <c r="O271" t="s">
        <v>89</v>
      </c>
      <c r="P271" t="str">
        <f>"4170071565                    "</f>
        <v xml:space="preserve">4170071565                    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0</v>
      </c>
      <c r="AJ271">
        <v>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72.25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1</v>
      </c>
      <c r="BI271">
        <v>6.3</v>
      </c>
      <c r="BJ271">
        <v>2.2000000000000002</v>
      </c>
      <c r="BK271">
        <v>6.5</v>
      </c>
      <c r="BL271">
        <v>236.46</v>
      </c>
      <c r="BM271">
        <v>35.47</v>
      </c>
      <c r="BN271">
        <v>271.93</v>
      </c>
      <c r="BO271">
        <v>271.93</v>
      </c>
      <c r="BQ271" t="s">
        <v>799</v>
      </c>
      <c r="BR271" t="s">
        <v>82</v>
      </c>
      <c r="BS271" s="3">
        <v>45994</v>
      </c>
      <c r="BT271" s="4">
        <v>0.40138888888888891</v>
      </c>
      <c r="BU271" t="s">
        <v>848</v>
      </c>
      <c r="BV271" t="s">
        <v>84</v>
      </c>
      <c r="BY271">
        <v>11046.6</v>
      </c>
      <c r="CA271" t="s">
        <v>277</v>
      </c>
      <c r="CC271" t="s">
        <v>142</v>
      </c>
      <c r="CD271">
        <v>6001</v>
      </c>
      <c r="CE271" t="s">
        <v>86</v>
      </c>
      <c r="CF271" s="3">
        <v>45994</v>
      </c>
      <c r="CI271">
        <v>1</v>
      </c>
      <c r="CJ271">
        <v>1</v>
      </c>
      <c r="CK271">
        <v>21</v>
      </c>
      <c r="CL271" t="s">
        <v>87</v>
      </c>
    </row>
    <row r="272" spans="1:90" x14ac:dyDescent="0.3">
      <c r="A272" t="s">
        <v>72</v>
      </c>
      <c r="B272" t="s">
        <v>73</v>
      </c>
      <c r="C272" t="s">
        <v>74</v>
      </c>
      <c r="E272" t="str">
        <f>"080069622649"</f>
        <v>080069622649</v>
      </c>
      <c r="F272" s="3">
        <v>45993</v>
      </c>
      <c r="G272">
        <v>202609</v>
      </c>
      <c r="H272" t="s">
        <v>75</v>
      </c>
      <c r="I272" t="s">
        <v>76</v>
      </c>
      <c r="J272" t="s">
        <v>77</v>
      </c>
      <c r="K272" t="s">
        <v>78</v>
      </c>
      <c r="L272" t="s">
        <v>94</v>
      </c>
      <c r="M272" t="s">
        <v>95</v>
      </c>
      <c r="N272" t="s">
        <v>804</v>
      </c>
      <c r="O272" t="s">
        <v>89</v>
      </c>
      <c r="P272" t="str">
        <f>"4170071499                    "</f>
        <v xml:space="preserve">4170071499                    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0</v>
      </c>
      <c r="AJ272">
        <v>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22.24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  <c r="AX272">
        <v>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1</v>
      </c>
      <c r="BI272">
        <v>1</v>
      </c>
      <c r="BJ272">
        <v>0.2</v>
      </c>
      <c r="BK272">
        <v>1</v>
      </c>
      <c r="BL272">
        <v>72.78</v>
      </c>
      <c r="BM272">
        <v>10.92</v>
      </c>
      <c r="BN272">
        <v>83.7</v>
      </c>
      <c r="BO272">
        <v>83.7</v>
      </c>
      <c r="BQ272" t="s">
        <v>805</v>
      </c>
      <c r="BR272" t="s">
        <v>82</v>
      </c>
      <c r="BS272" s="3">
        <v>45994</v>
      </c>
      <c r="BT272" s="4">
        <v>0.40208333333333335</v>
      </c>
      <c r="BU272" t="s">
        <v>806</v>
      </c>
      <c r="BV272" t="s">
        <v>84</v>
      </c>
      <c r="BY272">
        <v>1200</v>
      </c>
      <c r="CA272" t="s">
        <v>99</v>
      </c>
      <c r="CC272" t="s">
        <v>95</v>
      </c>
      <c r="CD272">
        <v>3600</v>
      </c>
      <c r="CE272" t="s">
        <v>134</v>
      </c>
      <c r="CF272" s="3">
        <v>45994</v>
      </c>
      <c r="CI272">
        <v>1</v>
      </c>
      <c r="CJ272">
        <v>1</v>
      </c>
      <c r="CK272">
        <v>21</v>
      </c>
      <c r="CL272" t="s">
        <v>87</v>
      </c>
    </row>
    <row r="273" spans="1:90" x14ac:dyDescent="0.3">
      <c r="A273" t="s">
        <v>72</v>
      </c>
      <c r="B273" t="s">
        <v>73</v>
      </c>
      <c r="C273" t="s">
        <v>74</v>
      </c>
      <c r="E273" t="str">
        <f>"080069622685"</f>
        <v>080069622685</v>
      </c>
      <c r="F273" s="3">
        <v>45993</v>
      </c>
      <c r="G273">
        <v>202609</v>
      </c>
      <c r="H273" t="s">
        <v>75</v>
      </c>
      <c r="I273" t="s">
        <v>76</v>
      </c>
      <c r="J273" t="s">
        <v>77</v>
      </c>
      <c r="K273" t="s">
        <v>78</v>
      </c>
      <c r="L273" t="s">
        <v>94</v>
      </c>
      <c r="M273" t="s">
        <v>95</v>
      </c>
      <c r="N273" t="s">
        <v>804</v>
      </c>
      <c r="O273" t="s">
        <v>89</v>
      </c>
      <c r="P273" t="str">
        <f>"4170071501                    "</f>
        <v xml:space="preserve">4170071501                    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22.24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1</v>
      </c>
      <c r="BI273">
        <v>1</v>
      </c>
      <c r="BJ273">
        <v>0.2</v>
      </c>
      <c r="BK273">
        <v>1</v>
      </c>
      <c r="BL273">
        <v>72.78</v>
      </c>
      <c r="BM273">
        <v>10.92</v>
      </c>
      <c r="BN273">
        <v>83.7</v>
      </c>
      <c r="BO273">
        <v>83.7</v>
      </c>
      <c r="BQ273" t="s">
        <v>805</v>
      </c>
      <c r="BR273" t="s">
        <v>82</v>
      </c>
      <c r="BS273" s="3">
        <v>45994</v>
      </c>
      <c r="BT273" s="4">
        <v>0.40208333333333335</v>
      </c>
      <c r="BU273" t="s">
        <v>806</v>
      </c>
      <c r="BV273" t="s">
        <v>84</v>
      </c>
      <c r="BY273">
        <v>1200</v>
      </c>
      <c r="CA273" t="s">
        <v>99</v>
      </c>
      <c r="CC273" t="s">
        <v>95</v>
      </c>
      <c r="CD273">
        <v>3600</v>
      </c>
      <c r="CE273" t="s">
        <v>134</v>
      </c>
      <c r="CF273" s="3">
        <v>45994</v>
      </c>
      <c r="CI273">
        <v>1</v>
      </c>
      <c r="CJ273">
        <v>1</v>
      </c>
      <c r="CK273">
        <v>21</v>
      </c>
      <c r="CL273" t="s">
        <v>87</v>
      </c>
    </row>
    <row r="274" spans="1:90" x14ac:dyDescent="0.3">
      <c r="A274" t="s">
        <v>72</v>
      </c>
      <c r="B274" t="s">
        <v>73</v>
      </c>
      <c r="C274" t="s">
        <v>74</v>
      </c>
      <c r="E274" t="str">
        <f>"080069622714"</f>
        <v>080069622714</v>
      </c>
      <c r="F274" s="3">
        <v>45993</v>
      </c>
      <c r="G274">
        <v>202609</v>
      </c>
      <c r="H274" t="s">
        <v>75</v>
      </c>
      <c r="I274" t="s">
        <v>76</v>
      </c>
      <c r="J274" t="s">
        <v>77</v>
      </c>
      <c r="K274" t="s">
        <v>78</v>
      </c>
      <c r="L274" t="s">
        <v>156</v>
      </c>
      <c r="M274" t="s">
        <v>157</v>
      </c>
      <c r="N274" t="s">
        <v>849</v>
      </c>
      <c r="O274" t="s">
        <v>89</v>
      </c>
      <c r="P274" t="str">
        <f>"4170071485                    "</f>
        <v xml:space="preserve">4170071485                    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22.24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1</v>
      </c>
      <c r="BI274">
        <v>1</v>
      </c>
      <c r="BJ274">
        <v>0.2</v>
      </c>
      <c r="BK274">
        <v>1</v>
      </c>
      <c r="BL274">
        <v>72.78</v>
      </c>
      <c r="BM274">
        <v>10.92</v>
      </c>
      <c r="BN274">
        <v>83.7</v>
      </c>
      <c r="BO274">
        <v>83.7</v>
      </c>
      <c r="BQ274" t="s">
        <v>850</v>
      </c>
      <c r="BR274" t="s">
        <v>82</v>
      </c>
      <c r="BS274" s="3">
        <v>45994</v>
      </c>
      <c r="BT274" s="4">
        <v>0.65347222222222223</v>
      </c>
      <c r="BU274" t="s">
        <v>851</v>
      </c>
      <c r="BV274" t="s">
        <v>87</v>
      </c>
      <c r="BW274" t="s">
        <v>153</v>
      </c>
      <c r="BX274" t="s">
        <v>345</v>
      </c>
      <c r="BY274">
        <v>1200</v>
      </c>
      <c r="CA274" t="s">
        <v>852</v>
      </c>
      <c r="CC274" t="s">
        <v>157</v>
      </c>
      <c r="CD274">
        <v>7975</v>
      </c>
      <c r="CE274" t="s">
        <v>134</v>
      </c>
      <c r="CF274" s="3">
        <v>45995</v>
      </c>
      <c r="CI274">
        <v>1</v>
      </c>
      <c r="CJ274">
        <v>1</v>
      </c>
      <c r="CK274">
        <v>21</v>
      </c>
      <c r="CL274" t="s">
        <v>87</v>
      </c>
    </row>
    <row r="275" spans="1:90" x14ac:dyDescent="0.3">
      <c r="A275" t="s">
        <v>72</v>
      </c>
      <c r="B275" t="s">
        <v>73</v>
      </c>
      <c r="C275" t="s">
        <v>74</v>
      </c>
      <c r="E275" t="str">
        <f>"080069622757"</f>
        <v>080069622757</v>
      </c>
      <c r="F275" s="3">
        <v>45993</v>
      </c>
      <c r="G275">
        <v>202609</v>
      </c>
      <c r="H275" t="s">
        <v>75</v>
      </c>
      <c r="I275" t="s">
        <v>76</v>
      </c>
      <c r="J275" t="s">
        <v>77</v>
      </c>
      <c r="K275" t="s">
        <v>78</v>
      </c>
      <c r="L275" t="s">
        <v>218</v>
      </c>
      <c r="M275" t="s">
        <v>219</v>
      </c>
      <c r="N275" t="s">
        <v>220</v>
      </c>
      <c r="O275" t="s">
        <v>89</v>
      </c>
      <c r="P275" t="str">
        <f>"4170071525                    "</f>
        <v xml:space="preserve">4170071525                    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0</v>
      </c>
      <c r="AJ275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354.4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1</v>
      </c>
      <c r="BI275">
        <v>0.2</v>
      </c>
      <c r="BJ275">
        <v>17.8</v>
      </c>
      <c r="BK275">
        <v>18</v>
      </c>
      <c r="BL275">
        <v>1159.8499999999999</v>
      </c>
      <c r="BM275">
        <v>173.98</v>
      </c>
      <c r="BN275">
        <v>1333.83</v>
      </c>
      <c r="BO275">
        <v>1333.83</v>
      </c>
      <c r="BQ275" t="s">
        <v>221</v>
      </c>
      <c r="BR275" t="s">
        <v>82</v>
      </c>
      <c r="BS275" s="3">
        <v>45994</v>
      </c>
      <c r="BT275" s="4">
        <v>0.35416666666666669</v>
      </c>
      <c r="BU275" t="s">
        <v>222</v>
      </c>
      <c r="BV275" t="s">
        <v>84</v>
      </c>
      <c r="BY275">
        <v>89112.87</v>
      </c>
      <c r="CC275" t="s">
        <v>219</v>
      </c>
      <c r="CD275">
        <v>2740</v>
      </c>
      <c r="CE275" t="s">
        <v>134</v>
      </c>
      <c r="CF275" s="3">
        <v>45995</v>
      </c>
      <c r="CI275">
        <v>1</v>
      </c>
      <c r="CJ275">
        <v>1</v>
      </c>
      <c r="CK275">
        <v>23</v>
      </c>
      <c r="CL275" t="s">
        <v>87</v>
      </c>
    </row>
    <row r="276" spans="1:90" x14ac:dyDescent="0.3">
      <c r="A276" t="s">
        <v>72</v>
      </c>
      <c r="B276" t="s">
        <v>73</v>
      </c>
      <c r="C276" t="s">
        <v>74</v>
      </c>
      <c r="E276" t="str">
        <f>"080069623067"</f>
        <v>080069623067</v>
      </c>
      <c r="F276" s="3">
        <v>45993</v>
      </c>
      <c r="G276">
        <v>202609</v>
      </c>
      <c r="H276" t="s">
        <v>75</v>
      </c>
      <c r="I276" t="s">
        <v>76</v>
      </c>
      <c r="J276" t="s">
        <v>77</v>
      </c>
      <c r="K276" t="s">
        <v>78</v>
      </c>
      <c r="L276" t="s">
        <v>437</v>
      </c>
      <c r="M276" t="s">
        <v>438</v>
      </c>
      <c r="N276" t="s">
        <v>853</v>
      </c>
      <c r="O276" t="s">
        <v>89</v>
      </c>
      <c r="P276" t="str">
        <f>"4170071458                    "</f>
        <v xml:space="preserve">4170071458                    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0</v>
      </c>
      <c r="AG276">
        <v>0</v>
      </c>
      <c r="AH276">
        <v>0</v>
      </c>
      <c r="AI276">
        <v>0</v>
      </c>
      <c r="AJ276">
        <v>0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43.09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0</v>
      </c>
      <c r="AX276">
        <v>0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1</v>
      </c>
      <c r="BI276">
        <v>1</v>
      </c>
      <c r="BJ276">
        <v>0.2</v>
      </c>
      <c r="BK276">
        <v>1</v>
      </c>
      <c r="BL276">
        <v>141.02000000000001</v>
      </c>
      <c r="BM276">
        <v>21.15</v>
      </c>
      <c r="BN276">
        <v>162.16999999999999</v>
      </c>
      <c r="BO276">
        <v>162.16999999999999</v>
      </c>
      <c r="BQ276" t="s">
        <v>854</v>
      </c>
      <c r="BR276" t="s">
        <v>82</v>
      </c>
      <c r="BS276" s="3">
        <v>45995</v>
      </c>
      <c r="BT276" s="4">
        <v>0.72222222222222221</v>
      </c>
      <c r="BU276" t="s">
        <v>855</v>
      </c>
      <c r="BV276" t="s">
        <v>87</v>
      </c>
      <c r="BY276">
        <v>1200</v>
      </c>
      <c r="CA276" t="s">
        <v>442</v>
      </c>
      <c r="CC276" t="s">
        <v>438</v>
      </c>
      <c r="CD276">
        <v>3280</v>
      </c>
      <c r="CE276" t="s">
        <v>134</v>
      </c>
      <c r="CF276" s="3">
        <v>45996</v>
      </c>
      <c r="CI276">
        <v>1</v>
      </c>
      <c r="CJ276">
        <v>2</v>
      </c>
      <c r="CK276">
        <v>23</v>
      </c>
      <c r="CL276" t="s">
        <v>87</v>
      </c>
    </row>
    <row r="277" spans="1:90" x14ac:dyDescent="0.3">
      <c r="A277" t="s">
        <v>72</v>
      </c>
      <c r="B277" t="s">
        <v>73</v>
      </c>
      <c r="C277" t="s">
        <v>74</v>
      </c>
      <c r="E277" t="str">
        <f>"080069623116"</f>
        <v>080069623116</v>
      </c>
      <c r="F277" s="3">
        <v>45993</v>
      </c>
      <c r="G277">
        <v>202609</v>
      </c>
      <c r="H277" t="s">
        <v>75</v>
      </c>
      <c r="I277" t="s">
        <v>76</v>
      </c>
      <c r="J277" t="s">
        <v>77</v>
      </c>
      <c r="K277" t="s">
        <v>78</v>
      </c>
      <c r="L277" t="s">
        <v>141</v>
      </c>
      <c r="M277" t="s">
        <v>142</v>
      </c>
      <c r="N277" t="s">
        <v>856</v>
      </c>
      <c r="O277" t="s">
        <v>89</v>
      </c>
      <c r="P277" t="str">
        <f>"4170071419                    "</f>
        <v xml:space="preserve">4170071419                    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94.48</v>
      </c>
      <c r="AR277">
        <v>0</v>
      </c>
      <c r="AS277">
        <v>0</v>
      </c>
      <c r="AT277">
        <v>0</v>
      </c>
      <c r="AU277">
        <v>0</v>
      </c>
      <c r="AV277">
        <v>0</v>
      </c>
      <c r="AW277">
        <v>0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2</v>
      </c>
      <c r="BI277">
        <v>8.1999999999999993</v>
      </c>
      <c r="BJ277">
        <v>6.4</v>
      </c>
      <c r="BK277">
        <v>8.5</v>
      </c>
      <c r="BL277">
        <v>309.20999999999998</v>
      </c>
      <c r="BM277">
        <v>46.38</v>
      </c>
      <c r="BN277">
        <v>355.59</v>
      </c>
      <c r="BO277">
        <v>355.59</v>
      </c>
      <c r="BQ277" t="s">
        <v>857</v>
      </c>
      <c r="BR277" t="s">
        <v>82</v>
      </c>
      <c r="BS277" s="3">
        <v>45994</v>
      </c>
      <c r="BT277" s="4">
        <v>0.42291666666666666</v>
      </c>
      <c r="BU277" t="s">
        <v>858</v>
      </c>
      <c r="BV277" t="s">
        <v>84</v>
      </c>
      <c r="BY277">
        <v>32182.55</v>
      </c>
      <c r="CA277" t="s">
        <v>146</v>
      </c>
      <c r="CC277" t="s">
        <v>142</v>
      </c>
      <c r="CD277">
        <v>6000</v>
      </c>
      <c r="CE277" t="s">
        <v>93</v>
      </c>
      <c r="CF277" s="3">
        <v>45994</v>
      </c>
      <c r="CI277">
        <v>1</v>
      </c>
      <c r="CJ277">
        <v>1</v>
      </c>
      <c r="CK277">
        <v>21</v>
      </c>
      <c r="CL277" t="s">
        <v>87</v>
      </c>
    </row>
    <row r="278" spans="1:90" x14ac:dyDescent="0.3">
      <c r="A278" t="s">
        <v>72</v>
      </c>
      <c r="B278" t="s">
        <v>73</v>
      </c>
      <c r="C278" t="s">
        <v>74</v>
      </c>
      <c r="E278" t="str">
        <f>"080069623760"</f>
        <v>080069623760</v>
      </c>
      <c r="F278" s="3">
        <v>45993</v>
      </c>
      <c r="G278">
        <v>202609</v>
      </c>
      <c r="H278" t="s">
        <v>75</v>
      </c>
      <c r="I278" t="s">
        <v>76</v>
      </c>
      <c r="J278" t="s">
        <v>77</v>
      </c>
      <c r="K278" t="s">
        <v>78</v>
      </c>
      <c r="L278" t="s">
        <v>535</v>
      </c>
      <c r="M278" t="s">
        <v>535</v>
      </c>
      <c r="N278" t="s">
        <v>536</v>
      </c>
      <c r="O278" t="s">
        <v>80</v>
      </c>
      <c r="P278" t="str">
        <f>"4170071583                    "</f>
        <v xml:space="preserve">4170071583                    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  <c r="AJ278">
        <v>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292.97000000000003</v>
      </c>
      <c r="AR278">
        <v>0</v>
      </c>
      <c r="AS278">
        <v>0</v>
      </c>
      <c r="AT278">
        <v>0</v>
      </c>
      <c r="AU278">
        <v>0</v>
      </c>
      <c r="AV278">
        <v>0</v>
      </c>
      <c r="AW278">
        <v>0</v>
      </c>
      <c r="AX278">
        <v>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1</v>
      </c>
      <c r="BI278">
        <v>39</v>
      </c>
      <c r="BJ278">
        <v>89.7</v>
      </c>
      <c r="BK278">
        <v>90</v>
      </c>
      <c r="BL278">
        <v>964.92</v>
      </c>
      <c r="BM278">
        <v>144.74</v>
      </c>
      <c r="BN278">
        <v>1109.6600000000001</v>
      </c>
      <c r="BO278">
        <v>1109.6600000000001</v>
      </c>
      <c r="BQ278" t="s">
        <v>537</v>
      </c>
      <c r="BR278" t="s">
        <v>82</v>
      </c>
      <c r="BS278" s="3">
        <v>45999</v>
      </c>
      <c r="BT278" s="4">
        <v>0.67013888888888884</v>
      </c>
      <c r="BU278" t="s">
        <v>859</v>
      </c>
      <c r="BV278" t="s">
        <v>87</v>
      </c>
      <c r="BW278" t="s">
        <v>246</v>
      </c>
      <c r="BX278" t="s">
        <v>860</v>
      </c>
      <c r="BY278">
        <v>448335</v>
      </c>
      <c r="CA278" t="s">
        <v>861</v>
      </c>
      <c r="CC278" t="s">
        <v>535</v>
      </c>
      <c r="CD278">
        <v>7646</v>
      </c>
      <c r="CE278" t="s">
        <v>790</v>
      </c>
      <c r="CF278" s="3">
        <v>46002</v>
      </c>
      <c r="CI278">
        <v>3</v>
      </c>
      <c r="CJ278">
        <v>4</v>
      </c>
      <c r="CK278">
        <v>43</v>
      </c>
      <c r="CL278" t="s">
        <v>87</v>
      </c>
    </row>
    <row r="279" spans="1:90" x14ac:dyDescent="0.3">
      <c r="A279" t="s">
        <v>72</v>
      </c>
      <c r="B279" t="s">
        <v>73</v>
      </c>
      <c r="C279" t="s">
        <v>74</v>
      </c>
      <c r="E279" t="str">
        <f>"080069623938"</f>
        <v>080069623938</v>
      </c>
      <c r="F279" s="3">
        <v>45993</v>
      </c>
      <c r="G279">
        <v>202609</v>
      </c>
      <c r="H279" t="s">
        <v>75</v>
      </c>
      <c r="I279" t="s">
        <v>76</v>
      </c>
      <c r="J279" t="s">
        <v>77</v>
      </c>
      <c r="K279" t="s">
        <v>78</v>
      </c>
      <c r="L279" t="s">
        <v>128</v>
      </c>
      <c r="M279" t="s">
        <v>129</v>
      </c>
      <c r="N279" t="s">
        <v>828</v>
      </c>
      <c r="O279" t="s">
        <v>89</v>
      </c>
      <c r="P279" t="str">
        <f>"4170071443                    "</f>
        <v xml:space="preserve">4170071443                    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  <c r="AJ279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50.02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1</v>
      </c>
      <c r="BI279">
        <v>4.3</v>
      </c>
      <c r="BJ279">
        <v>1.4</v>
      </c>
      <c r="BK279">
        <v>4.5</v>
      </c>
      <c r="BL279">
        <v>163.71</v>
      </c>
      <c r="BM279">
        <v>24.56</v>
      </c>
      <c r="BN279">
        <v>188.27</v>
      </c>
      <c r="BO279">
        <v>188.27</v>
      </c>
      <c r="BQ279" t="s">
        <v>829</v>
      </c>
      <c r="BR279" t="s">
        <v>82</v>
      </c>
      <c r="BS279" s="3">
        <v>45994</v>
      </c>
      <c r="BT279" s="4">
        <v>0.66666666666666663</v>
      </c>
      <c r="BU279" t="s">
        <v>862</v>
      </c>
      <c r="BV279" t="s">
        <v>87</v>
      </c>
      <c r="BW279" t="s">
        <v>722</v>
      </c>
      <c r="BX279" t="s">
        <v>187</v>
      </c>
      <c r="BY279">
        <v>6876.9</v>
      </c>
      <c r="CC279" t="s">
        <v>129</v>
      </c>
      <c r="CD279">
        <v>5201</v>
      </c>
      <c r="CE279" t="s">
        <v>86</v>
      </c>
      <c r="CF279" s="3">
        <v>45995</v>
      </c>
      <c r="CI279">
        <v>1</v>
      </c>
      <c r="CJ279">
        <v>1</v>
      </c>
      <c r="CK279">
        <v>21</v>
      </c>
      <c r="CL279" t="s">
        <v>87</v>
      </c>
    </row>
    <row r="280" spans="1:90" x14ac:dyDescent="0.3">
      <c r="A280" t="s">
        <v>72</v>
      </c>
      <c r="B280" t="s">
        <v>73</v>
      </c>
      <c r="C280" t="s">
        <v>74</v>
      </c>
      <c r="E280" t="str">
        <f>"080069625554"</f>
        <v>080069625554</v>
      </c>
      <c r="F280" s="3">
        <v>45993</v>
      </c>
      <c r="G280">
        <v>202609</v>
      </c>
      <c r="H280" t="s">
        <v>75</v>
      </c>
      <c r="I280" t="s">
        <v>76</v>
      </c>
      <c r="J280" t="s">
        <v>77</v>
      </c>
      <c r="K280" t="s">
        <v>78</v>
      </c>
      <c r="L280" t="s">
        <v>75</v>
      </c>
      <c r="M280" t="s">
        <v>76</v>
      </c>
      <c r="N280" t="s">
        <v>195</v>
      </c>
      <c r="O280" t="s">
        <v>80</v>
      </c>
      <c r="P280" t="str">
        <f>"4170071515                    "</f>
        <v xml:space="preserve">4170071515                    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0</v>
      </c>
      <c r="AJ280">
        <v>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67.06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0</v>
      </c>
      <c r="AX280">
        <v>0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2</v>
      </c>
      <c r="BI280">
        <v>27.4</v>
      </c>
      <c r="BJ280">
        <v>49.3</v>
      </c>
      <c r="BK280">
        <v>50</v>
      </c>
      <c r="BL280">
        <v>225.58</v>
      </c>
      <c r="BM280">
        <v>33.840000000000003</v>
      </c>
      <c r="BN280">
        <v>259.42</v>
      </c>
      <c r="BO280">
        <v>259.42</v>
      </c>
      <c r="BQ280" t="s">
        <v>196</v>
      </c>
      <c r="BR280" t="s">
        <v>82</v>
      </c>
      <c r="BS280" s="3">
        <v>45994</v>
      </c>
      <c r="BT280" s="4">
        <v>0.38124999999999998</v>
      </c>
      <c r="BU280" t="s">
        <v>469</v>
      </c>
      <c r="BV280" t="s">
        <v>84</v>
      </c>
      <c r="BY280">
        <v>246484.2</v>
      </c>
      <c r="CA280" t="s">
        <v>863</v>
      </c>
      <c r="CC280" t="s">
        <v>76</v>
      </c>
      <c r="CD280">
        <v>1600</v>
      </c>
      <c r="CE280" t="s">
        <v>93</v>
      </c>
      <c r="CF280" s="3">
        <v>45994</v>
      </c>
      <c r="CI280">
        <v>1</v>
      </c>
      <c r="CJ280">
        <v>1</v>
      </c>
      <c r="CK280">
        <v>42</v>
      </c>
      <c r="CL280" t="s">
        <v>87</v>
      </c>
    </row>
    <row r="281" spans="1:90" x14ac:dyDescent="0.3">
      <c r="A281" t="s">
        <v>72</v>
      </c>
      <c r="B281" t="s">
        <v>73</v>
      </c>
      <c r="C281" t="s">
        <v>74</v>
      </c>
      <c r="E281" t="str">
        <f>"080069625587"</f>
        <v>080069625587</v>
      </c>
      <c r="F281" s="3">
        <v>45993</v>
      </c>
      <c r="G281">
        <v>202609</v>
      </c>
      <c r="H281" t="s">
        <v>75</v>
      </c>
      <c r="I281" t="s">
        <v>76</v>
      </c>
      <c r="J281" t="s">
        <v>77</v>
      </c>
      <c r="K281" t="s">
        <v>78</v>
      </c>
      <c r="L281" t="s">
        <v>156</v>
      </c>
      <c r="M281" t="s">
        <v>157</v>
      </c>
      <c r="N281" t="s">
        <v>261</v>
      </c>
      <c r="O281" t="s">
        <v>89</v>
      </c>
      <c r="P281" t="str">
        <f>"4170071585                    "</f>
        <v xml:space="preserve">4170071585                    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83.37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1</v>
      </c>
      <c r="BI281">
        <v>7</v>
      </c>
      <c r="BJ281">
        <v>7.5</v>
      </c>
      <c r="BK281">
        <v>7.5</v>
      </c>
      <c r="BL281">
        <v>272.83999999999997</v>
      </c>
      <c r="BM281">
        <v>40.93</v>
      </c>
      <c r="BN281">
        <v>313.77</v>
      </c>
      <c r="BO281">
        <v>313.77</v>
      </c>
      <c r="BQ281" t="s">
        <v>262</v>
      </c>
      <c r="BR281" t="s">
        <v>82</v>
      </c>
      <c r="BS281" s="3">
        <v>45994</v>
      </c>
      <c r="BT281" s="4">
        <v>0.41249999999999998</v>
      </c>
      <c r="BU281" t="s">
        <v>263</v>
      </c>
      <c r="BV281" t="s">
        <v>84</v>
      </c>
      <c r="BY281">
        <v>37488</v>
      </c>
      <c r="CA281" t="s">
        <v>264</v>
      </c>
      <c r="CC281" t="s">
        <v>157</v>
      </c>
      <c r="CD281">
        <v>7441</v>
      </c>
      <c r="CE281" t="s">
        <v>86</v>
      </c>
      <c r="CF281" s="3">
        <v>45995</v>
      </c>
      <c r="CI281">
        <v>1</v>
      </c>
      <c r="CJ281">
        <v>1</v>
      </c>
      <c r="CK281">
        <v>21</v>
      </c>
      <c r="CL281" t="s">
        <v>87</v>
      </c>
    </row>
    <row r="282" spans="1:90" x14ac:dyDescent="0.3">
      <c r="A282" t="s">
        <v>72</v>
      </c>
      <c r="B282" t="s">
        <v>73</v>
      </c>
      <c r="C282" t="s">
        <v>74</v>
      </c>
      <c r="E282" t="str">
        <f>"080069625634"</f>
        <v>080069625634</v>
      </c>
      <c r="F282" s="3">
        <v>45993</v>
      </c>
      <c r="G282">
        <v>202609</v>
      </c>
      <c r="H282" t="s">
        <v>75</v>
      </c>
      <c r="I282" t="s">
        <v>76</v>
      </c>
      <c r="J282" t="s">
        <v>77</v>
      </c>
      <c r="K282" t="s">
        <v>78</v>
      </c>
      <c r="L282" t="s">
        <v>389</v>
      </c>
      <c r="M282" t="s">
        <v>390</v>
      </c>
      <c r="N282" t="s">
        <v>864</v>
      </c>
      <c r="O282" t="s">
        <v>80</v>
      </c>
      <c r="P282" t="str">
        <f>"4170071582                    "</f>
        <v xml:space="preserve">4170071582                    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0</v>
      </c>
      <c r="AJ282">
        <v>0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392.1</v>
      </c>
      <c r="AR282">
        <v>0</v>
      </c>
      <c r="AS282">
        <v>0</v>
      </c>
      <c r="AT282">
        <v>0</v>
      </c>
      <c r="AU282">
        <v>0</v>
      </c>
      <c r="AV282">
        <v>0</v>
      </c>
      <c r="AW282">
        <v>0</v>
      </c>
      <c r="AX282">
        <v>0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1</v>
      </c>
      <c r="BI282">
        <v>45</v>
      </c>
      <c r="BJ282">
        <v>121.5</v>
      </c>
      <c r="BK282">
        <v>122</v>
      </c>
      <c r="BL282">
        <v>1289.33</v>
      </c>
      <c r="BM282">
        <v>193.4</v>
      </c>
      <c r="BN282">
        <v>1482.73</v>
      </c>
      <c r="BO282">
        <v>1482.73</v>
      </c>
      <c r="BQ282" t="s">
        <v>865</v>
      </c>
      <c r="BR282" t="s">
        <v>82</v>
      </c>
      <c r="BS282" s="3">
        <v>46002</v>
      </c>
      <c r="BT282" s="4">
        <v>0.55833333333333335</v>
      </c>
      <c r="BU282" t="s">
        <v>866</v>
      </c>
      <c r="BV282" t="s">
        <v>87</v>
      </c>
      <c r="BW282" t="s">
        <v>174</v>
      </c>
      <c r="BX282" t="s">
        <v>867</v>
      </c>
      <c r="BY282">
        <v>607743</v>
      </c>
      <c r="CC282" t="s">
        <v>390</v>
      </c>
      <c r="CD282" s="5" t="s">
        <v>395</v>
      </c>
      <c r="CE282" t="s">
        <v>567</v>
      </c>
      <c r="CI282">
        <v>1</v>
      </c>
      <c r="CJ282">
        <v>7</v>
      </c>
      <c r="CK282">
        <v>43</v>
      </c>
      <c r="CL282" t="s">
        <v>87</v>
      </c>
    </row>
    <row r="283" spans="1:90" x14ac:dyDescent="0.3">
      <c r="A283" t="s">
        <v>72</v>
      </c>
      <c r="B283" t="s">
        <v>73</v>
      </c>
      <c r="C283" t="s">
        <v>74</v>
      </c>
      <c r="E283" t="str">
        <f>"080069625821"</f>
        <v>080069625821</v>
      </c>
      <c r="F283" s="3">
        <v>45993</v>
      </c>
      <c r="G283">
        <v>202609</v>
      </c>
      <c r="H283" t="s">
        <v>75</v>
      </c>
      <c r="I283" t="s">
        <v>76</v>
      </c>
      <c r="J283" t="s">
        <v>77</v>
      </c>
      <c r="K283" t="s">
        <v>78</v>
      </c>
      <c r="L283" t="s">
        <v>141</v>
      </c>
      <c r="M283" t="s">
        <v>142</v>
      </c>
      <c r="N283" t="s">
        <v>868</v>
      </c>
      <c r="O283" t="s">
        <v>89</v>
      </c>
      <c r="P283" t="str">
        <f>"4170071448                    "</f>
        <v xml:space="preserve">4170071448                    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  <c r="AH283">
        <v>0</v>
      </c>
      <c r="AI283">
        <v>0</v>
      </c>
      <c r="AJ283">
        <v>0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22.24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1</v>
      </c>
      <c r="BI283">
        <v>1</v>
      </c>
      <c r="BJ283">
        <v>1.1000000000000001</v>
      </c>
      <c r="BK283">
        <v>1.5</v>
      </c>
      <c r="BL283">
        <v>72.78</v>
      </c>
      <c r="BM283">
        <v>10.92</v>
      </c>
      <c r="BN283">
        <v>83.7</v>
      </c>
      <c r="BO283">
        <v>83.7</v>
      </c>
      <c r="BQ283" t="s">
        <v>869</v>
      </c>
      <c r="BR283" t="s">
        <v>82</v>
      </c>
      <c r="BS283" s="3">
        <v>45994</v>
      </c>
      <c r="BT283" s="4">
        <v>0.39097222222222222</v>
      </c>
      <c r="BU283" t="s">
        <v>870</v>
      </c>
      <c r="BV283" t="s">
        <v>84</v>
      </c>
      <c r="BY283">
        <v>5320</v>
      </c>
      <c r="CA283" t="s">
        <v>571</v>
      </c>
      <c r="CC283" t="s">
        <v>142</v>
      </c>
      <c r="CD283">
        <v>6001</v>
      </c>
      <c r="CE283" t="s">
        <v>86</v>
      </c>
      <c r="CF283" s="3">
        <v>45994</v>
      </c>
      <c r="CI283">
        <v>1</v>
      </c>
      <c r="CJ283">
        <v>1</v>
      </c>
      <c r="CK283">
        <v>21</v>
      </c>
      <c r="CL283" t="s">
        <v>87</v>
      </c>
    </row>
    <row r="284" spans="1:90" x14ac:dyDescent="0.3">
      <c r="A284" t="s">
        <v>72</v>
      </c>
      <c r="B284" t="s">
        <v>73</v>
      </c>
      <c r="C284" t="s">
        <v>74</v>
      </c>
      <c r="E284" t="str">
        <f>"080069625866"</f>
        <v>080069625866</v>
      </c>
      <c r="F284" s="3">
        <v>45993</v>
      </c>
      <c r="G284">
        <v>202609</v>
      </c>
      <c r="H284" t="s">
        <v>75</v>
      </c>
      <c r="I284" t="s">
        <v>76</v>
      </c>
      <c r="J284" t="s">
        <v>77</v>
      </c>
      <c r="K284" t="s">
        <v>78</v>
      </c>
      <c r="L284" t="s">
        <v>332</v>
      </c>
      <c r="M284" t="s">
        <v>333</v>
      </c>
      <c r="N284" t="s">
        <v>334</v>
      </c>
      <c r="O284" t="s">
        <v>80</v>
      </c>
      <c r="P284" t="str">
        <f>"4170071548                    "</f>
        <v xml:space="preserve">4170071548                    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G284">
        <v>0</v>
      </c>
      <c r="AH284">
        <v>0</v>
      </c>
      <c r="AI284">
        <v>0</v>
      </c>
      <c r="AJ284">
        <v>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66.849999999999994</v>
      </c>
      <c r="AR284">
        <v>0</v>
      </c>
      <c r="AS284">
        <v>0</v>
      </c>
      <c r="AT284">
        <v>0</v>
      </c>
      <c r="AU284">
        <v>0</v>
      </c>
      <c r="AV284">
        <v>0</v>
      </c>
      <c r="AW284">
        <v>0</v>
      </c>
      <c r="AX284">
        <v>0</v>
      </c>
      <c r="AY284">
        <v>0</v>
      </c>
      <c r="AZ284">
        <v>0</v>
      </c>
      <c r="BA284">
        <v>0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1</v>
      </c>
      <c r="BI284">
        <v>8.6999999999999993</v>
      </c>
      <c r="BJ284">
        <v>16.7</v>
      </c>
      <c r="BK284">
        <v>17</v>
      </c>
      <c r="BL284">
        <v>224.88</v>
      </c>
      <c r="BM284">
        <v>33.729999999999997</v>
      </c>
      <c r="BN284">
        <v>258.61</v>
      </c>
      <c r="BO284">
        <v>258.61</v>
      </c>
      <c r="BQ284" t="s">
        <v>335</v>
      </c>
      <c r="BR284" t="s">
        <v>82</v>
      </c>
      <c r="BS284" s="3">
        <v>45995</v>
      </c>
      <c r="BT284" s="4">
        <v>0.6430555555555556</v>
      </c>
      <c r="BU284" t="s">
        <v>336</v>
      </c>
      <c r="BV284" t="s">
        <v>84</v>
      </c>
      <c r="BY284">
        <v>83569.31</v>
      </c>
      <c r="CC284" t="s">
        <v>333</v>
      </c>
      <c r="CD284">
        <v>6500</v>
      </c>
      <c r="CE284" t="s">
        <v>93</v>
      </c>
      <c r="CF284" s="3">
        <v>45996</v>
      </c>
      <c r="CI284">
        <v>3</v>
      </c>
      <c r="CJ284">
        <v>2</v>
      </c>
      <c r="CK284">
        <v>43</v>
      </c>
      <c r="CL284" t="s">
        <v>87</v>
      </c>
    </row>
    <row r="285" spans="1:90" x14ac:dyDescent="0.3">
      <c r="A285" t="s">
        <v>72</v>
      </c>
      <c r="B285" t="s">
        <v>73</v>
      </c>
      <c r="C285" t="s">
        <v>74</v>
      </c>
      <c r="E285" t="str">
        <f>"080069625880"</f>
        <v>080069625880</v>
      </c>
      <c r="F285" s="3">
        <v>45993</v>
      </c>
      <c r="G285">
        <v>202609</v>
      </c>
      <c r="H285" t="s">
        <v>75</v>
      </c>
      <c r="I285" t="s">
        <v>76</v>
      </c>
      <c r="J285" t="s">
        <v>77</v>
      </c>
      <c r="K285" t="s">
        <v>78</v>
      </c>
      <c r="L285" t="s">
        <v>75</v>
      </c>
      <c r="M285" t="s">
        <v>76</v>
      </c>
      <c r="N285" t="s">
        <v>871</v>
      </c>
      <c r="O285" t="s">
        <v>89</v>
      </c>
      <c r="P285" t="str">
        <f>"4170071537                    "</f>
        <v xml:space="preserve">4170071537                    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0</v>
      </c>
      <c r="AH285">
        <v>0</v>
      </c>
      <c r="AI285">
        <v>0</v>
      </c>
      <c r="AJ285">
        <v>0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17.37</v>
      </c>
      <c r="AR285">
        <v>0</v>
      </c>
      <c r="AS285">
        <v>0</v>
      </c>
      <c r="AT285">
        <v>0</v>
      </c>
      <c r="AU285">
        <v>0</v>
      </c>
      <c r="AV285">
        <v>0</v>
      </c>
      <c r="AW285">
        <v>0</v>
      </c>
      <c r="AX285">
        <v>0</v>
      </c>
      <c r="AY285">
        <v>0</v>
      </c>
      <c r="AZ285">
        <v>0</v>
      </c>
      <c r="BA285">
        <v>0</v>
      </c>
      <c r="BB285">
        <v>0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1</v>
      </c>
      <c r="BI285">
        <v>1</v>
      </c>
      <c r="BJ285">
        <v>0.2</v>
      </c>
      <c r="BK285">
        <v>1</v>
      </c>
      <c r="BL285">
        <v>56.85</v>
      </c>
      <c r="BM285">
        <v>8.5299999999999994</v>
      </c>
      <c r="BN285">
        <v>65.38</v>
      </c>
      <c r="BO285">
        <v>65.38</v>
      </c>
      <c r="BQ285" t="s">
        <v>872</v>
      </c>
      <c r="BR285" t="s">
        <v>82</v>
      </c>
      <c r="BS285" s="3">
        <v>45994</v>
      </c>
      <c r="BT285" s="4">
        <v>0.48680555555555555</v>
      </c>
      <c r="BU285" t="s">
        <v>803</v>
      </c>
      <c r="BV285" t="s">
        <v>87</v>
      </c>
      <c r="BY285">
        <v>1200</v>
      </c>
      <c r="CA285" t="s">
        <v>873</v>
      </c>
      <c r="CC285" t="s">
        <v>76</v>
      </c>
      <c r="CD285">
        <v>1618</v>
      </c>
      <c r="CE285" t="s">
        <v>134</v>
      </c>
      <c r="CF285" s="3">
        <v>45995</v>
      </c>
      <c r="CI285">
        <v>1</v>
      </c>
      <c r="CJ285">
        <v>1</v>
      </c>
      <c r="CK285">
        <v>22</v>
      </c>
      <c r="CL285" t="s">
        <v>87</v>
      </c>
    </row>
    <row r="286" spans="1:90" x14ac:dyDescent="0.3">
      <c r="A286" t="s">
        <v>72</v>
      </c>
      <c r="B286" t="s">
        <v>73</v>
      </c>
      <c r="C286" t="s">
        <v>74</v>
      </c>
      <c r="E286" t="str">
        <f>"080069625906"</f>
        <v>080069625906</v>
      </c>
      <c r="F286" s="3">
        <v>45993</v>
      </c>
      <c r="G286">
        <v>202609</v>
      </c>
      <c r="H286" t="s">
        <v>75</v>
      </c>
      <c r="I286" t="s">
        <v>76</v>
      </c>
      <c r="J286" t="s">
        <v>77</v>
      </c>
      <c r="K286" t="s">
        <v>78</v>
      </c>
      <c r="L286" t="s">
        <v>265</v>
      </c>
      <c r="M286" t="s">
        <v>266</v>
      </c>
      <c r="N286" t="s">
        <v>874</v>
      </c>
      <c r="O286" t="s">
        <v>89</v>
      </c>
      <c r="P286" t="str">
        <f>"4170071554                    "</f>
        <v xml:space="preserve">4170071554                    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0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17.37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1</v>
      </c>
      <c r="BI286">
        <v>1</v>
      </c>
      <c r="BJ286">
        <v>0.2</v>
      </c>
      <c r="BK286">
        <v>1</v>
      </c>
      <c r="BL286">
        <v>56.85</v>
      </c>
      <c r="BM286">
        <v>8.5299999999999994</v>
      </c>
      <c r="BN286">
        <v>65.38</v>
      </c>
      <c r="BO286">
        <v>65.38</v>
      </c>
      <c r="BQ286" t="s">
        <v>875</v>
      </c>
      <c r="BR286" t="s">
        <v>82</v>
      </c>
      <c r="BS286" s="3">
        <v>45994</v>
      </c>
      <c r="BT286" s="4">
        <v>0.33750000000000002</v>
      </c>
      <c r="BU286" t="s">
        <v>876</v>
      </c>
      <c r="BV286" t="s">
        <v>84</v>
      </c>
      <c r="BY286">
        <v>1200</v>
      </c>
      <c r="CA286" t="s">
        <v>417</v>
      </c>
      <c r="CC286" t="s">
        <v>266</v>
      </c>
      <c r="CD286">
        <v>1459</v>
      </c>
      <c r="CE286" t="s">
        <v>134</v>
      </c>
      <c r="CF286" s="3">
        <v>45994</v>
      </c>
      <c r="CI286">
        <v>1</v>
      </c>
      <c r="CJ286">
        <v>1</v>
      </c>
      <c r="CK286">
        <v>22</v>
      </c>
      <c r="CL286" t="s">
        <v>87</v>
      </c>
    </row>
    <row r="287" spans="1:90" x14ac:dyDescent="0.3">
      <c r="A287" t="s">
        <v>72</v>
      </c>
      <c r="B287" t="s">
        <v>73</v>
      </c>
      <c r="C287" t="s">
        <v>74</v>
      </c>
      <c r="E287" t="str">
        <f>"080069625912"</f>
        <v>080069625912</v>
      </c>
      <c r="F287" s="3">
        <v>45993</v>
      </c>
      <c r="G287">
        <v>202609</v>
      </c>
      <c r="H287" t="s">
        <v>75</v>
      </c>
      <c r="I287" t="s">
        <v>76</v>
      </c>
      <c r="J287" t="s">
        <v>77</v>
      </c>
      <c r="K287" t="s">
        <v>78</v>
      </c>
      <c r="L287" t="s">
        <v>176</v>
      </c>
      <c r="M287" t="s">
        <v>177</v>
      </c>
      <c r="N287" t="s">
        <v>877</v>
      </c>
      <c r="O287" t="s">
        <v>340</v>
      </c>
      <c r="P287" t="str">
        <f>"4170071489                    "</f>
        <v xml:space="preserve">4170071489                    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0</v>
      </c>
      <c r="AJ2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17.38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0</v>
      </c>
      <c r="AX287">
        <v>0</v>
      </c>
      <c r="AY287">
        <v>0</v>
      </c>
      <c r="AZ287">
        <v>0</v>
      </c>
      <c r="BA287">
        <v>0</v>
      </c>
      <c r="BB287">
        <v>0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1</v>
      </c>
      <c r="BI287">
        <v>2</v>
      </c>
      <c r="BJ287">
        <v>4.5999999999999996</v>
      </c>
      <c r="BK287">
        <v>5</v>
      </c>
      <c r="BL287">
        <v>56.87</v>
      </c>
      <c r="BM287">
        <v>8.5299999999999994</v>
      </c>
      <c r="BN287">
        <v>65.400000000000006</v>
      </c>
      <c r="BO287">
        <v>65.400000000000006</v>
      </c>
      <c r="BQ287" t="s">
        <v>878</v>
      </c>
      <c r="BR287" t="s">
        <v>82</v>
      </c>
      <c r="BS287" s="3">
        <v>45994</v>
      </c>
      <c r="BT287" s="4">
        <v>0.38819444444444445</v>
      </c>
      <c r="BU287" t="s">
        <v>879</v>
      </c>
      <c r="BV287" t="s">
        <v>84</v>
      </c>
      <c r="BY287">
        <v>22848</v>
      </c>
      <c r="CA287" t="s">
        <v>413</v>
      </c>
      <c r="CC287" t="s">
        <v>177</v>
      </c>
      <c r="CD287">
        <v>2013</v>
      </c>
      <c r="CE287" t="s">
        <v>93</v>
      </c>
      <c r="CF287" s="3">
        <v>45995</v>
      </c>
      <c r="CI287">
        <v>1</v>
      </c>
      <c r="CJ287">
        <v>1</v>
      </c>
      <c r="CK287">
        <v>32</v>
      </c>
      <c r="CL287" t="s">
        <v>87</v>
      </c>
    </row>
    <row r="288" spans="1:90" x14ac:dyDescent="0.3">
      <c r="A288" t="s">
        <v>72</v>
      </c>
      <c r="B288" t="s">
        <v>73</v>
      </c>
      <c r="C288" t="s">
        <v>74</v>
      </c>
      <c r="E288" t="str">
        <f>"080069625954"</f>
        <v>080069625954</v>
      </c>
      <c r="F288" s="3">
        <v>45993</v>
      </c>
      <c r="G288">
        <v>202609</v>
      </c>
      <c r="H288" t="s">
        <v>75</v>
      </c>
      <c r="I288" t="s">
        <v>76</v>
      </c>
      <c r="J288" t="s">
        <v>77</v>
      </c>
      <c r="K288" t="s">
        <v>78</v>
      </c>
      <c r="L288" t="s">
        <v>156</v>
      </c>
      <c r="M288" t="s">
        <v>157</v>
      </c>
      <c r="N288" t="s">
        <v>261</v>
      </c>
      <c r="O288" t="s">
        <v>89</v>
      </c>
      <c r="P288" t="str">
        <f>"4170071553                    "</f>
        <v xml:space="preserve">4170071553                    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0</v>
      </c>
      <c r="AJ288">
        <v>0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22.24</v>
      </c>
      <c r="AR288">
        <v>0</v>
      </c>
      <c r="AS288">
        <v>0</v>
      </c>
      <c r="AT288">
        <v>0</v>
      </c>
      <c r="AU288">
        <v>0</v>
      </c>
      <c r="AV288">
        <v>0</v>
      </c>
      <c r="AW288">
        <v>0</v>
      </c>
      <c r="AX288">
        <v>0</v>
      </c>
      <c r="AY288">
        <v>0</v>
      </c>
      <c r="AZ288">
        <v>0</v>
      </c>
      <c r="BA288">
        <v>0</v>
      </c>
      <c r="BB288">
        <v>0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1</v>
      </c>
      <c r="BI288">
        <v>1</v>
      </c>
      <c r="BJ288">
        <v>0.2</v>
      </c>
      <c r="BK288">
        <v>1</v>
      </c>
      <c r="BL288">
        <v>72.78</v>
      </c>
      <c r="BM288">
        <v>10.92</v>
      </c>
      <c r="BN288">
        <v>83.7</v>
      </c>
      <c r="BO288">
        <v>83.7</v>
      </c>
      <c r="BQ288" t="s">
        <v>262</v>
      </c>
      <c r="BR288" t="s">
        <v>82</v>
      </c>
      <c r="BS288" s="3">
        <v>45994</v>
      </c>
      <c r="BT288" s="4">
        <v>0.41249999999999998</v>
      </c>
      <c r="BU288" t="s">
        <v>263</v>
      </c>
      <c r="BV288" t="s">
        <v>84</v>
      </c>
      <c r="BY288">
        <v>1200</v>
      </c>
      <c r="CA288" t="s">
        <v>264</v>
      </c>
      <c r="CC288" t="s">
        <v>157</v>
      </c>
      <c r="CD288">
        <v>7441</v>
      </c>
      <c r="CE288" t="s">
        <v>134</v>
      </c>
      <c r="CF288" s="3">
        <v>45995</v>
      </c>
      <c r="CI288">
        <v>1</v>
      </c>
      <c r="CJ288">
        <v>1</v>
      </c>
      <c r="CK288">
        <v>21</v>
      </c>
      <c r="CL288" t="s">
        <v>87</v>
      </c>
    </row>
    <row r="289" spans="1:90" x14ac:dyDescent="0.3">
      <c r="A289" t="s">
        <v>72</v>
      </c>
      <c r="B289" t="s">
        <v>73</v>
      </c>
      <c r="C289" t="s">
        <v>74</v>
      </c>
      <c r="E289" t="str">
        <f>"080069625974"</f>
        <v>080069625974</v>
      </c>
      <c r="F289" s="3">
        <v>45993</v>
      </c>
      <c r="G289">
        <v>202609</v>
      </c>
      <c r="H289" t="s">
        <v>75</v>
      </c>
      <c r="I289" t="s">
        <v>76</v>
      </c>
      <c r="J289" t="s">
        <v>77</v>
      </c>
      <c r="K289" t="s">
        <v>78</v>
      </c>
      <c r="L289" t="s">
        <v>156</v>
      </c>
      <c r="M289" t="s">
        <v>157</v>
      </c>
      <c r="N289" t="s">
        <v>880</v>
      </c>
      <c r="O289" t="s">
        <v>89</v>
      </c>
      <c r="P289" t="str">
        <f>"4170071481                    "</f>
        <v xml:space="preserve">4170071481                    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0</v>
      </c>
      <c r="AJ289">
        <v>0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22.24</v>
      </c>
      <c r="AR289">
        <v>0</v>
      </c>
      <c r="AS289">
        <v>0</v>
      </c>
      <c r="AT289">
        <v>0</v>
      </c>
      <c r="AU289">
        <v>0</v>
      </c>
      <c r="AV289">
        <v>0</v>
      </c>
      <c r="AW289">
        <v>0</v>
      </c>
      <c r="AX289">
        <v>0</v>
      </c>
      <c r="AY289">
        <v>0</v>
      </c>
      <c r="AZ289">
        <v>0</v>
      </c>
      <c r="BA289">
        <v>0</v>
      </c>
      <c r="BB289">
        <v>0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1</v>
      </c>
      <c r="BI289">
        <v>1</v>
      </c>
      <c r="BJ289">
        <v>0.2</v>
      </c>
      <c r="BK289">
        <v>1</v>
      </c>
      <c r="BL289">
        <v>72.78</v>
      </c>
      <c r="BM289">
        <v>10.92</v>
      </c>
      <c r="BN289">
        <v>83.7</v>
      </c>
      <c r="BO289">
        <v>83.7</v>
      </c>
      <c r="BQ289" t="s">
        <v>881</v>
      </c>
      <c r="BR289" t="s">
        <v>82</v>
      </c>
      <c r="BS289" s="3">
        <v>45994</v>
      </c>
      <c r="BT289" s="4">
        <v>0.62152777777777779</v>
      </c>
      <c r="BU289" t="s">
        <v>667</v>
      </c>
      <c r="BV289" t="s">
        <v>87</v>
      </c>
      <c r="BY289">
        <v>1200</v>
      </c>
      <c r="BZ289" t="s">
        <v>271</v>
      </c>
      <c r="CA289" t="s">
        <v>668</v>
      </c>
      <c r="CC289" t="s">
        <v>157</v>
      </c>
      <c r="CD289">
        <v>7550</v>
      </c>
      <c r="CE289" t="s">
        <v>127</v>
      </c>
      <c r="CF289" s="3">
        <v>45996</v>
      </c>
      <c r="CI289">
        <v>1</v>
      </c>
      <c r="CJ289">
        <v>1</v>
      </c>
      <c r="CK289">
        <v>21</v>
      </c>
      <c r="CL289" t="s">
        <v>87</v>
      </c>
    </row>
    <row r="290" spans="1:90" x14ac:dyDescent="0.3">
      <c r="A290" t="s">
        <v>72</v>
      </c>
      <c r="B290" t="s">
        <v>73</v>
      </c>
      <c r="C290" t="s">
        <v>74</v>
      </c>
      <c r="E290" t="str">
        <f>"080069626101"</f>
        <v>080069626101</v>
      </c>
      <c r="F290" s="3">
        <v>45993</v>
      </c>
      <c r="G290">
        <v>202609</v>
      </c>
      <c r="H290" t="s">
        <v>75</v>
      </c>
      <c r="I290" t="s">
        <v>76</v>
      </c>
      <c r="J290" t="s">
        <v>77</v>
      </c>
      <c r="K290" t="s">
        <v>78</v>
      </c>
      <c r="L290" t="s">
        <v>109</v>
      </c>
      <c r="M290" t="s">
        <v>110</v>
      </c>
      <c r="N290" t="s">
        <v>111</v>
      </c>
      <c r="O290" t="s">
        <v>89</v>
      </c>
      <c r="P290" t="str">
        <f>"4170071530                    "</f>
        <v xml:space="preserve">4170071530                    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0</v>
      </c>
      <c r="AJ290">
        <v>0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31.28</v>
      </c>
      <c r="AR290">
        <v>0</v>
      </c>
      <c r="AS290">
        <v>0</v>
      </c>
      <c r="AT290">
        <v>0</v>
      </c>
      <c r="AU290">
        <v>0</v>
      </c>
      <c r="AV290">
        <v>0</v>
      </c>
      <c r="AW290">
        <v>0</v>
      </c>
      <c r="AX290">
        <v>0</v>
      </c>
      <c r="AY290">
        <v>0</v>
      </c>
      <c r="AZ290">
        <v>0</v>
      </c>
      <c r="BA290">
        <v>0</v>
      </c>
      <c r="BB290">
        <v>0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1</v>
      </c>
      <c r="BI290">
        <v>1</v>
      </c>
      <c r="BJ290">
        <v>0.2</v>
      </c>
      <c r="BK290">
        <v>1</v>
      </c>
      <c r="BL290">
        <v>102.36</v>
      </c>
      <c r="BM290">
        <v>15.35</v>
      </c>
      <c r="BN290">
        <v>117.71</v>
      </c>
      <c r="BO290">
        <v>117.71</v>
      </c>
      <c r="BQ290" t="s">
        <v>112</v>
      </c>
      <c r="BR290" t="s">
        <v>82</v>
      </c>
      <c r="BS290" s="3">
        <v>45994</v>
      </c>
      <c r="BT290" s="4">
        <v>0.43194444444444446</v>
      </c>
      <c r="BU290" t="s">
        <v>882</v>
      </c>
      <c r="BV290" t="s">
        <v>84</v>
      </c>
      <c r="BY290">
        <v>1200</v>
      </c>
      <c r="CA290" t="s">
        <v>641</v>
      </c>
      <c r="CC290" t="s">
        <v>110</v>
      </c>
      <c r="CD290">
        <v>1748</v>
      </c>
      <c r="CE290" t="s">
        <v>134</v>
      </c>
      <c r="CF290" s="3">
        <v>45995</v>
      </c>
      <c r="CI290">
        <v>1</v>
      </c>
      <c r="CJ290">
        <v>1</v>
      </c>
      <c r="CK290">
        <v>24</v>
      </c>
      <c r="CL290" t="s">
        <v>87</v>
      </c>
    </row>
    <row r="291" spans="1:90" x14ac:dyDescent="0.3">
      <c r="A291" t="s">
        <v>72</v>
      </c>
      <c r="B291" t="s">
        <v>73</v>
      </c>
      <c r="C291" t="s">
        <v>74</v>
      </c>
      <c r="E291" t="str">
        <f>"080069626126"</f>
        <v>080069626126</v>
      </c>
      <c r="F291" s="3">
        <v>45993</v>
      </c>
      <c r="G291">
        <v>202609</v>
      </c>
      <c r="H291" t="s">
        <v>75</v>
      </c>
      <c r="I291" t="s">
        <v>76</v>
      </c>
      <c r="J291" t="s">
        <v>77</v>
      </c>
      <c r="K291" t="s">
        <v>78</v>
      </c>
      <c r="L291" t="s">
        <v>176</v>
      </c>
      <c r="M291" t="s">
        <v>177</v>
      </c>
      <c r="N291" t="s">
        <v>883</v>
      </c>
      <c r="O291" t="s">
        <v>89</v>
      </c>
      <c r="P291" t="str">
        <f>"4170071534                    "</f>
        <v xml:space="preserve">4170071534                    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0</v>
      </c>
      <c r="AJ291">
        <v>0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17.37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0</v>
      </c>
      <c r="AX291">
        <v>0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1</v>
      </c>
      <c r="BI291">
        <v>1</v>
      </c>
      <c r="BJ291">
        <v>0.2</v>
      </c>
      <c r="BK291">
        <v>1</v>
      </c>
      <c r="BL291">
        <v>56.85</v>
      </c>
      <c r="BM291">
        <v>8.5299999999999994</v>
      </c>
      <c r="BN291">
        <v>65.38</v>
      </c>
      <c r="BO291">
        <v>65.38</v>
      </c>
      <c r="BQ291" t="s">
        <v>884</v>
      </c>
      <c r="BR291" t="s">
        <v>82</v>
      </c>
      <c r="BS291" s="3">
        <v>45994</v>
      </c>
      <c r="BT291" s="4">
        <v>0.40069444444444446</v>
      </c>
      <c r="BU291" t="s">
        <v>885</v>
      </c>
      <c r="BV291" t="s">
        <v>84</v>
      </c>
      <c r="BY291">
        <v>1200</v>
      </c>
      <c r="CA291" t="s">
        <v>886</v>
      </c>
      <c r="CC291" t="s">
        <v>177</v>
      </c>
      <c r="CD291">
        <v>2042</v>
      </c>
      <c r="CE291" t="s">
        <v>134</v>
      </c>
      <c r="CF291" s="3">
        <v>45994</v>
      </c>
      <c r="CI291">
        <v>1</v>
      </c>
      <c r="CJ291">
        <v>1</v>
      </c>
      <c r="CK291">
        <v>22</v>
      </c>
      <c r="CL291" t="s">
        <v>87</v>
      </c>
    </row>
    <row r="292" spans="1:90" x14ac:dyDescent="0.3">
      <c r="A292" t="s">
        <v>72</v>
      </c>
      <c r="B292" t="s">
        <v>73</v>
      </c>
      <c r="C292" t="s">
        <v>74</v>
      </c>
      <c r="E292" t="str">
        <f>"080069626130"</f>
        <v>080069626130</v>
      </c>
      <c r="F292" s="3">
        <v>45993</v>
      </c>
      <c r="G292">
        <v>202609</v>
      </c>
      <c r="H292" t="s">
        <v>75</v>
      </c>
      <c r="I292" t="s">
        <v>76</v>
      </c>
      <c r="J292" t="s">
        <v>77</v>
      </c>
      <c r="K292" t="s">
        <v>78</v>
      </c>
      <c r="L292" t="s">
        <v>109</v>
      </c>
      <c r="M292" t="s">
        <v>110</v>
      </c>
      <c r="N292" t="s">
        <v>887</v>
      </c>
      <c r="O292" t="s">
        <v>89</v>
      </c>
      <c r="P292" t="str">
        <f>"4170071560                    "</f>
        <v xml:space="preserve">4170071560                    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31.28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0</v>
      </c>
      <c r="AX292">
        <v>0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1</v>
      </c>
      <c r="BI292">
        <v>2</v>
      </c>
      <c r="BJ292">
        <v>1.8</v>
      </c>
      <c r="BK292">
        <v>2</v>
      </c>
      <c r="BL292">
        <v>102.36</v>
      </c>
      <c r="BM292">
        <v>15.35</v>
      </c>
      <c r="BN292">
        <v>117.71</v>
      </c>
      <c r="BO292">
        <v>117.71</v>
      </c>
      <c r="BQ292" t="s">
        <v>888</v>
      </c>
      <c r="BR292" t="s">
        <v>82</v>
      </c>
      <c r="BS292" s="3">
        <v>45994</v>
      </c>
      <c r="BT292" s="4">
        <v>0.47291666666666665</v>
      </c>
      <c r="BU292" t="s">
        <v>889</v>
      </c>
      <c r="BV292" t="s">
        <v>84</v>
      </c>
      <c r="BY292">
        <v>8816</v>
      </c>
      <c r="CC292" t="s">
        <v>110</v>
      </c>
      <c r="CD292">
        <v>1754</v>
      </c>
      <c r="CE292" t="s">
        <v>86</v>
      </c>
      <c r="CF292" s="3">
        <v>45995</v>
      </c>
      <c r="CI292">
        <v>1</v>
      </c>
      <c r="CJ292">
        <v>1</v>
      </c>
      <c r="CK292">
        <v>24</v>
      </c>
      <c r="CL292" t="s">
        <v>87</v>
      </c>
    </row>
    <row r="293" spans="1:90" x14ac:dyDescent="0.3">
      <c r="A293" t="s">
        <v>72</v>
      </c>
      <c r="B293" t="s">
        <v>73</v>
      </c>
      <c r="C293" t="s">
        <v>74</v>
      </c>
      <c r="E293" t="str">
        <f>"080069626344"</f>
        <v>080069626344</v>
      </c>
      <c r="F293" s="3">
        <v>45993</v>
      </c>
      <c r="G293">
        <v>202609</v>
      </c>
      <c r="H293" t="s">
        <v>75</v>
      </c>
      <c r="I293" t="s">
        <v>76</v>
      </c>
      <c r="J293" t="s">
        <v>77</v>
      </c>
      <c r="K293" t="s">
        <v>78</v>
      </c>
      <c r="L293" t="s">
        <v>120</v>
      </c>
      <c r="M293" t="s">
        <v>121</v>
      </c>
      <c r="N293" t="s">
        <v>890</v>
      </c>
      <c r="O293" t="s">
        <v>89</v>
      </c>
      <c r="P293" t="str">
        <f>"4170071620                    "</f>
        <v xml:space="preserve">4170071620                    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0</v>
      </c>
      <c r="AJ293">
        <v>0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55.58</v>
      </c>
      <c r="AR293">
        <v>0</v>
      </c>
      <c r="AS293">
        <v>0</v>
      </c>
      <c r="AT293">
        <v>0</v>
      </c>
      <c r="AU293">
        <v>0</v>
      </c>
      <c r="AV293">
        <v>0</v>
      </c>
      <c r="AW293">
        <v>0</v>
      </c>
      <c r="AX293">
        <v>0</v>
      </c>
      <c r="AY293">
        <v>0</v>
      </c>
      <c r="AZ293">
        <v>0</v>
      </c>
      <c r="BA293">
        <v>0</v>
      </c>
      <c r="BB293">
        <v>0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1</v>
      </c>
      <c r="BI293">
        <v>2</v>
      </c>
      <c r="BJ293">
        <v>5</v>
      </c>
      <c r="BK293">
        <v>5</v>
      </c>
      <c r="BL293">
        <v>181.9</v>
      </c>
      <c r="BM293">
        <v>27.29</v>
      </c>
      <c r="BN293">
        <v>209.19</v>
      </c>
      <c r="BO293">
        <v>209.19</v>
      </c>
      <c r="BQ293" t="s">
        <v>891</v>
      </c>
      <c r="BR293" t="s">
        <v>82</v>
      </c>
      <c r="BS293" s="3">
        <v>45994</v>
      </c>
      <c r="BT293" s="4">
        <v>0.44444444444444442</v>
      </c>
      <c r="BU293" t="s">
        <v>892</v>
      </c>
      <c r="BV293" t="s">
        <v>87</v>
      </c>
      <c r="BY293">
        <v>24882</v>
      </c>
      <c r="CA293" t="s">
        <v>126</v>
      </c>
      <c r="CC293" t="s">
        <v>121</v>
      </c>
      <c r="CD293">
        <v>6230</v>
      </c>
      <c r="CE293" t="s">
        <v>86</v>
      </c>
      <c r="CF293" s="3">
        <v>45995</v>
      </c>
      <c r="CI293">
        <v>1</v>
      </c>
      <c r="CJ293">
        <v>1</v>
      </c>
      <c r="CK293">
        <v>21</v>
      </c>
      <c r="CL293" t="s">
        <v>87</v>
      </c>
    </row>
    <row r="294" spans="1:90" x14ac:dyDescent="0.3">
      <c r="A294" t="s">
        <v>72</v>
      </c>
      <c r="B294" t="s">
        <v>73</v>
      </c>
      <c r="C294" t="s">
        <v>74</v>
      </c>
      <c r="E294" t="str">
        <f>"080069626368"</f>
        <v>080069626368</v>
      </c>
      <c r="F294" s="3">
        <v>45993</v>
      </c>
      <c r="G294">
        <v>202609</v>
      </c>
      <c r="H294" t="s">
        <v>75</v>
      </c>
      <c r="I294" t="s">
        <v>76</v>
      </c>
      <c r="J294" t="s">
        <v>77</v>
      </c>
      <c r="K294" t="s">
        <v>78</v>
      </c>
      <c r="L294" t="s">
        <v>202</v>
      </c>
      <c r="M294" t="s">
        <v>203</v>
      </c>
      <c r="N294" t="s">
        <v>204</v>
      </c>
      <c r="O294" t="s">
        <v>89</v>
      </c>
      <c r="P294" t="str">
        <f>"4170071493                    "</f>
        <v xml:space="preserve">4170071493                    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  <c r="AJ294">
        <v>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237.66</v>
      </c>
      <c r="AR294">
        <v>0</v>
      </c>
      <c r="AS294">
        <v>0</v>
      </c>
      <c r="AT294">
        <v>0</v>
      </c>
      <c r="AU294">
        <v>0</v>
      </c>
      <c r="AV294">
        <v>0</v>
      </c>
      <c r="AW294">
        <v>0</v>
      </c>
      <c r="AX294">
        <v>0</v>
      </c>
      <c r="AY294">
        <v>0</v>
      </c>
      <c r="AZ294">
        <v>0</v>
      </c>
      <c r="BA294">
        <v>0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2</v>
      </c>
      <c r="BI294">
        <v>12</v>
      </c>
      <c r="BJ294">
        <v>7.3</v>
      </c>
      <c r="BK294">
        <v>12</v>
      </c>
      <c r="BL294">
        <v>777.79</v>
      </c>
      <c r="BM294">
        <v>116.67</v>
      </c>
      <c r="BN294">
        <v>894.46</v>
      </c>
      <c r="BO294">
        <v>894.46</v>
      </c>
      <c r="BQ294" t="s">
        <v>205</v>
      </c>
      <c r="BR294" t="s">
        <v>82</v>
      </c>
      <c r="BS294" s="3">
        <v>45994</v>
      </c>
      <c r="BT294" s="4">
        <v>0.50763888888888886</v>
      </c>
      <c r="BU294" t="s">
        <v>893</v>
      </c>
      <c r="BV294" t="s">
        <v>84</v>
      </c>
      <c r="BY294">
        <v>18144</v>
      </c>
      <c r="CA294" t="s">
        <v>683</v>
      </c>
      <c r="CC294" t="s">
        <v>203</v>
      </c>
      <c r="CD294">
        <v>2531</v>
      </c>
      <c r="CE294" t="s">
        <v>894</v>
      </c>
      <c r="CF294" s="3">
        <v>45995</v>
      </c>
      <c r="CI294">
        <v>1</v>
      </c>
      <c r="CJ294">
        <v>1</v>
      </c>
      <c r="CK294">
        <v>23</v>
      </c>
      <c r="CL294" t="s">
        <v>87</v>
      </c>
    </row>
    <row r="295" spans="1:90" x14ac:dyDescent="0.3">
      <c r="A295" t="s">
        <v>72</v>
      </c>
      <c r="B295" t="s">
        <v>73</v>
      </c>
      <c r="C295" t="s">
        <v>74</v>
      </c>
      <c r="E295" t="str">
        <f>"080069626383"</f>
        <v>080069626383</v>
      </c>
      <c r="F295" s="3">
        <v>45993</v>
      </c>
      <c r="G295">
        <v>202609</v>
      </c>
      <c r="H295" t="s">
        <v>75</v>
      </c>
      <c r="I295" t="s">
        <v>76</v>
      </c>
      <c r="J295" t="s">
        <v>77</v>
      </c>
      <c r="K295" t="s">
        <v>78</v>
      </c>
      <c r="L295" t="s">
        <v>399</v>
      </c>
      <c r="M295" t="s">
        <v>400</v>
      </c>
      <c r="N295" t="s">
        <v>895</v>
      </c>
      <c r="O295" t="s">
        <v>89</v>
      </c>
      <c r="P295" t="str">
        <f>"4170071526                    "</f>
        <v xml:space="preserve">4170071526                    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0</v>
      </c>
      <c r="AH295">
        <v>0</v>
      </c>
      <c r="AI295">
        <v>0</v>
      </c>
      <c r="AJ295">
        <v>0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17.37</v>
      </c>
      <c r="AR295">
        <v>0</v>
      </c>
      <c r="AS295">
        <v>0</v>
      </c>
      <c r="AT295">
        <v>0</v>
      </c>
      <c r="AU295">
        <v>0</v>
      </c>
      <c r="AV295">
        <v>0</v>
      </c>
      <c r="AW295">
        <v>0</v>
      </c>
      <c r="AX295">
        <v>0</v>
      </c>
      <c r="AY295">
        <v>0</v>
      </c>
      <c r="AZ295">
        <v>0</v>
      </c>
      <c r="BA295">
        <v>0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1</v>
      </c>
      <c r="BI295">
        <v>1</v>
      </c>
      <c r="BJ295">
        <v>0.2</v>
      </c>
      <c r="BK295">
        <v>1</v>
      </c>
      <c r="BL295">
        <v>56.85</v>
      </c>
      <c r="BM295">
        <v>8.5299999999999994</v>
      </c>
      <c r="BN295">
        <v>65.38</v>
      </c>
      <c r="BO295">
        <v>65.38</v>
      </c>
      <c r="BQ295" t="s">
        <v>896</v>
      </c>
      <c r="BR295" t="s">
        <v>82</v>
      </c>
      <c r="BS295" s="3">
        <v>45994</v>
      </c>
      <c r="BT295" s="4">
        <v>0.41805555555555557</v>
      </c>
      <c r="BU295" t="s">
        <v>897</v>
      </c>
      <c r="BV295" t="s">
        <v>84</v>
      </c>
      <c r="BY295">
        <v>1200</v>
      </c>
      <c r="CA295" t="s">
        <v>898</v>
      </c>
      <c r="CC295" t="s">
        <v>400</v>
      </c>
      <c r="CD295">
        <v>1724</v>
      </c>
      <c r="CE295" t="s">
        <v>134</v>
      </c>
      <c r="CF295" s="3">
        <v>45994</v>
      </c>
      <c r="CI295">
        <v>1</v>
      </c>
      <c r="CJ295">
        <v>1</v>
      </c>
      <c r="CK295">
        <v>22</v>
      </c>
      <c r="CL295" t="s">
        <v>87</v>
      </c>
    </row>
    <row r="296" spans="1:90" x14ac:dyDescent="0.3">
      <c r="A296" t="s">
        <v>72</v>
      </c>
      <c r="B296" t="s">
        <v>73</v>
      </c>
      <c r="C296" t="s">
        <v>74</v>
      </c>
      <c r="E296" t="str">
        <f>"080069626681"</f>
        <v>080069626681</v>
      </c>
      <c r="F296" s="3">
        <v>45993</v>
      </c>
      <c r="G296">
        <v>202609</v>
      </c>
      <c r="H296" t="s">
        <v>75</v>
      </c>
      <c r="I296" t="s">
        <v>76</v>
      </c>
      <c r="J296" t="s">
        <v>77</v>
      </c>
      <c r="K296" t="s">
        <v>78</v>
      </c>
      <c r="L296" t="s">
        <v>899</v>
      </c>
      <c r="M296" t="s">
        <v>900</v>
      </c>
      <c r="N296" t="s">
        <v>901</v>
      </c>
      <c r="O296" t="s">
        <v>89</v>
      </c>
      <c r="P296" t="str">
        <f>"4170071533                    "</f>
        <v xml:space="preserve">4170071533                    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31.28</v>
      </c>
      <c r="AR296">
        <v>0</v>
      </c>
      <c r="AS296">
        <v>0</v>
      </c>
      <c r="AT296">
        <v>0</v>
      </c>
      <c r="AU296">
        <v>0</v>
      </c>
      <c r="AV296">
        <v>0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1</v>
      </c>
      <c r="BI296">
        <v>1</v>
      </c>
      <c r="BJ296">
        <v>0.2</v>
      </c>
      <c r="BK296">
        <v>1</v>
      </c>
      <c r="BL296">
        <v>102.36</v>
      </c>
      <c r="BM296">
        <v>15.35</v>
      </c>
      <c r="BN296">
        <v>117.71</v>
      </c>
      <c r="BO296">
        <v>117.71</v>
      </c>
      <c r="BQ296" t="s">
        <v>902</v>
      </c>
      <c r="BR296" t="s">
        <v>82</v>
      </c>
      <c r="BS296" s="3">
        <v>45994</v>
      </c>
      <c r="BT296" s="4">
        <v>0.40416666666666667</v>
      </c>
      <c r="BU296" t="s">
        <v>903</v>
      </c>
      <c r="BV296" t="s">
        <v>84</v>
      </c>
      <c r="BY296">
        <v>1200</v>
      </c>
      <c r="CA296" t="s">
        <v>904</v>
      </c>
      <c r="CC296" t="s">
        <v>900</v>
      </c>
      <c r="CD296">
        <v>2410</v>
      </c>
      <c r="CE296" t="s">
        <v>134</v>
      </c>
      <c r="CF296" s="3">
        <v>45995</v>
      </c>
      <c r="CI296">
        <v>1</v>
      </c>
      <c r="CJ296">
        <v>1</v>
      </c>
      <c r="CK296">
        <v>24</v>
      </c>
      <c r="CL296" t="s">
        <v>87</v>
      </c>
    </row>
    <row r="297" spans="1:90" x14ac:dyDescent="0.3">
      <c r="A297" t="s">
        <v>72</v>
      </c>
      <c r="B297" t="s">
        <v>73</v>
      </c>
      <c r="C297" t="s">
        <v>74</v>
      </c>
      <c r="E297" t="str">
        <f>"080069626712"</f>
        <v>080069626712</v>
      </c>
      <c r="F297" s="3">
        <v>45993</v>
      </c>
      <c r="G297">
        <v>202609</v>
      </c>
      <c r="H297" t="s">
        <v>75</v>
      </c>
      <c r="I297" t="s">
        <v>76</v>
      </c>
      <c r="J297" t="s">
        <v>77</v>
      </c>
      <c r="K297" t="s">
        <v>78</v>
      </c>
      <c r="L297" t="s">
        <v>389</v>
      </c>
      <c r="M297" t="s">
        <v>390</v>
      </c>
      <c r="N297" t="s">
        <v>581</v>
      </c>
      <c r="O297" t="s">
        <v>89</v>
      </c>
      <c r="P297" t="str">
        <f>"4170071487                    "</f>
        <v xml:space="preserve">4170071487                    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0</v>
      </c>
      <c r="AJ29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43.09</v>
      </c>
      <c r="AR297">
        <v>0</v>
      </c>
      <c r="AS297">
        <v>0</v>
      </c>
      <c r="AT297">
        <v>0</v>
      </c>
      <c r="AU297">
        <v>0</v>
      </c>
      <c r="AV297">
        <v>0</v>
      </c>
      <c r="AW297">
        <v>0</v>
      </c>
      <c r="AX297">
        <v>0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1</v>
      </c>
      <c r="BI297">
        <v>0.2</v>
      </c>
      <c r="BJ297">
        <v>1.5</v>
      </c>
      <c r="BK297">
        <v>1.5</v>
      </c>
      <c r="BL297">
        <v>141.02000000000001</v>
      </c>
      <c r="BM297">
        <v>21.15</v>
      </c>
      <c r="BN297">
        <v>162.16999999999999</v>
      </c>
      <c r="BO297">
        <v>162.16999999999999</v>
      </c>
      <c r="BQ297" t="s">
        <v>582</v>
      </c>
      <c r="BR297" t="s">
        <v>82</v>
      </c>
      <c r="BS297" s="3">
        <v>45994</v>
      </c>
      <c r="BT297" s="4">
        <v>0.4236111111111111</v>
      </c>
      <c r="BU297" t="s">
        <v>905</v>
      </c>
      <c r="BV297" t="s">
        <v>84</v>
      </c>
      <c r="BY297">
        <v>7622.93</v>
      </c>
      <c r="CC297" t="s">
        <v>390</v>
      </c>
      <c r="CD297" s="5" t="s">
        <v>395</v>
      </c>
      <c r="CE297" t="s">
        <v>134</v>
      </c>
      <c r="CF297" s="3">
        <v>45995</v>
      </c>
      <c r="CI297">
        <v>1</v>
      </c>
      <c r="CJ297">
        <v>1</v>
      </c>
      <c r="CK297">
        <v>23</v>
      </c>
      <c r="CL297" t="s">
        <v>87</v>
      </c>
    </row>
    <row r="298" spans="1:90" x14ac:dyDescent="0.3">
      <c r="A298" t="s">
        <v>72</v>
      </c>
      <c r="B298" t="s">
        <v>73</v>
      </c>
      <c r="C298" t="s">
        <v>74</v>
      </c>
      <c r="E298" t="str">
        <f>"080069626743"</f>
        <v>080069626743</v>
      </c>
      <c r="F298" s="3">
        <v>45993</v>
      </c>
      <c r="G298">
        <v>202609</v>
      </c>
      <c r="H298" t="s">
        <v>75</v>
      </c>
      <c r="I298" t="s">
        <v>76</v>
      </c>
      <c r="J298" t="s">
        <v>77</v>
      </c>
      <c r="K298" t="s">
        <v>78</v>
      </c>
      <c r="L298" t="s">
        <v>176</v>
      </c>
      <c r="M298" t="s">
        <v>177</v>
      </c>
      <c r="N298" t="s">
        <v>906</v>
      </c>
      <c r="O298" t="s">
        <v>89</v>
      </c>
      <c r="P298" t="str">
        <f>"4170071490                    "</f>
        <v xml:space="preserve">4170071490                    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0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0</v>
      </c>
      <c r="AJ298">
        <v>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17.37</v>
      </c>
      <c r="AR298">
        <v>0</v>
      </c>
      <c r="AS298">
        <v>0</v>
      </c>
      <c r="AT298">
        <v>0</v>
      </c>
      <c r="AU298">
        <v>0</v>
      </c>
      <c r="AV298">
        <v>0</v>
      </c>
      <c r="AW298">
        <v>0</v>
      </c>
      <c r="AX298">
        <v>0</v>
      </c>
      <c r="AY298">
        <v>0</v>
      </c>
      <c r="AZ298">
        <v>0</v>
      </c>
      <c r="BA298">
        <v>0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1</v>
      </c>
      <c r="BI298">
        <v>1</v>
      </c>
      <c r="BJ298">
        <v>0.2</v>
      </c>
      <c r="BK298">
        <v>1</v>
      </c>
      <c r="BL298">
        <v>56.85</v>
      </c>
      <c r="BM298">
        <v>8.5299999999999994</v>
      </c>
      <c r="BN298">
        <v>65.38</v>
      </c>
      <c r="BO298">
        <v>65.38</v>
      </c>
      <c r="BQ298" t="s">
        <v>907</v>
      </c>
      <c r="BR298" t="s">
        <v>82</v>
      </c>
      <c r="BS298" s="3">
        <v>45995</v>
      </c>
      <c r="BT298" s="4">
        <v>0.52916666666666667</v>
      </c>
      <c r="BU298" t="s">
        <v>908</v>
      </c>
      <c r="BV298" t="s">
        <v>87</v>
      </c>
      <c r="BY298">
        <v>1200</v>
      </c>
      <c r="CA298" t="s">
        <v>909</v>
      </c>
      <c r="CC298" t="s">
        <v>177</v>
      </c>
      <c r="CD298">
        <v>2092</v>
      </c>
      <c r="CE298" t="s">
        <v>134</v>
      </c>
      <c r="CF298" s="3">
        <v>45996</v>
      </c>
      <c r="CI298">
        <v>1</v>
      </c>
      <c r="CJ298">
        <v>2</v>
      </c>
      <c r="CK298">
        <v>22</v>
      </c>
      <c r="CL298" t="s">
        <v>87</v>
      </c>
    </row>
    <row r="299" spans="1:90" x14ac:dyDescent="0.3">
      <c r="A299" t="s">
        <v>72</v>
      </c>
      <c r="B299" t="s">
        <v>73</v>
      </c>
      <c r="C299" t="s">
        <v>74</v>
      </c>
      <c r="E299" t="str">
        <f>"009944721535"</f>
        <v>009944721535</v>
      </c>
      <c r="F299" s="3">
        <v>45993</v>
      </c>
      <c r="G299">
        <v>202609</v>
      </c>
      <c r="H299" t="s">
        <v>141</v>
      </c>
      <c r="I299" t="s">
        <v>142</v>
      </c>
      <c r="J299" t="s">
        <v>910</v>
      </c>
      <c r="K299" t="s">
        <v>78</v>
      </c>
      <c r="L299" t="s">
        <v>75</v>
      </c>
      <c r="M299" t="s">
        <v>76</v>
      </c>
      <c r="N299" t="s">
        <v>911</v>
      </c>
      <c r="O299" t="s">
        <v>80</v>
      </c>
      <c r="P299" t="str">
        <f>"PLZ2404184118                 "</f>
        <v xml:space="preserve">PLZ2404184118                 </v>
      </c>
      <c r="Q299">
        <v>0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0</v>
      </c>
      <c r="AJ299">
        <v>0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243.87</v>
      </c>
      <c r="AR299">
        <v>0</v>
      </c>
      <c r="AS299">
        <v>0</v>
      </c>
      <c r="AT299">
        <v>0</v>
      </c>
      <c r="AU299">
        <v>0</v>
      </c>
      <c r="AV299">
        <v>0</v>
      </c>
      <c r="AW299">
        <v>0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1</v>
      </c>
      <c r="BI299">
        <v>128</v>
      </c>
      <c r="BJ299">
        <v>60.8</v>
      </c>
      <c r="BK299">
        <v>128</v>
      </c>
      <c r="BL299">
        <v>804.23</v>
      </c>
      <c r="BM299">
        <v>120.63</v>
      </c>
      <c r="BN299">
        <v>924.86</v>
      </c>
      <c r="BO299">
        <v>924.86</v>
      </c>
      <c r="BS299" s="3">
        <v>45996</v>
      </c>
      <c r="BT299" s="4">
        <v>0.64513888888888893</v>
      </c>
      <c r="BU299" t="s">
        <v>912</v>
      </c>
      <c r="BV299" t="s">
        <v>84</v>
      </c>
      <c r="BY299">
        <v>303875</v>
      </c>
      <c r="BZ299" t="s">
        <v>404</v>
      </c>
      <c r="CA299" t="s">
        <v>863</v>
      </c>
      <c r="CC299" t="s">
        <v>76</v>
      </c>
      <c r="CD299">
        <v>1600</v>
      </c>
      <c r="CE299" t="s">
        <v>607</v>
      </c>
      <c r="CF299" s="3">
        <v>45996</v>
      </c>
      <c r="CI299">
        <v>3</v>
      </c>
      <c r="CJ299">
        <v>3</v>
      </c>
      <c r="CK299">
        <v>41</v>
      </c>
      <c r="CL299" t="s">
        <v>87</v>
      </c>
    </row>
    <row r="300" spans="1:90" x14ac:dyDescent="0.3">
      <c r="A300" t="s">
        <v>72</v>
      </c>
      <c r="B300" t="s">
        <v>73</v>
      </c>
      <c r="C300" t="s">
        <v>74</v>
      </c>
      <c r="E300" t="str">
        <f>"080069626946"</f>
        <v>080069626946</v>
      </c>
      <c r="F300" s="3">
        <v>45993</v>
      </c>
      <c r="G300">
        <v>202609</v>
      </c>
      <c r="H300" t="s">
        <v>75</v>
      </c>
      <c r="I300" t="s">
        <v>76</v>
      </c>
      <c r="J300" t="s">
        <v>77</v>
      </c>
      <c r="K300" t="s">
        <v>78</v>
      </c>
      <c r="L300" t="s">
        <v>128</v>
      </c>
      <c r="M300" t="s">
        <v>129</v>
      </c>
      <c r="N300" t="s">
        <v>183</v>
      </c>
      <c r="O300" t="s">
        <v>89</v>
      </c>
      <c r="P300" t="str">
        <f>"4170071557                    "</f>
        <v xml:space="preserve">4170071557                    </v>
      </c>
      <c r="Q300">
        <v>0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0</v>
      </c>
      <c r="AJ300">
        <v>0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22.24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0</v>
      </c>
      <c r="AX300">
        <v>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1</v>
      </c>
      <c r="BI300">
        <v>1</v>
      </c>
      <c r="BJ300">
        <v>0.2</v>
      </c>
      <c r="BK300">
        <v>1</v>
      </c>
      <c r="BL300">
        <v>72.78</v>
      </c>
      <c r="BM300">
        <v>10.92</v>
      </c>
      <c r="BN300">
        <v>83.7</v>
      </c>
      <c r="BO300">
        <v>83.7</v>
      </c>
      <c r="BQ300" t="s">
        <v>184</v>
      </c>
      <c r="BR300" t="s">
        <v>82</v>
      </c>
      <c r="BS300" s="3">
        <v>45994</v>
      </c>
      <c r="BT300" s="4">
        <v>0.64444444444444449</v>
      </c>
      <c r="BU300" t="s">
        <v>913</v>
      </c>
      <c r="BV300" t="s">
        <v>87</v>
      </c>
      <c r="BY300">
        <v>1200</v>
      </c>
      <c r="CA300" t="s">
        <v>188</v>
      </c>
      <c r="CC300" t="s">
        <v>129</v>
      </c>
      <c r="CD300">
        <v>5200</v>
      </c>
      <c r="CE300" t="s">
        <v>134</v>
      </c>
      <c r="CF300" s="3">
        <v>45995</v>
      </c>
      <c r="CI300">
        <v>1</v>
      </c>
      <c r="CJ300">
        <v>1</v>
      </c>
      <c r="CK300">
        <v>21</v>
      </c>
      <c r="CL300" t="s">
        <v>87</v>
      </c>
    </row>
    <row r="301" spans="1:90" x14ac:dyDescent="0.3">
      <c r="A301" t="s">
        <v>72</v>
      </c>
      <c r="B301" t="s">
        <v>73</v>
      </c>
      <c r="C301" t="s">
        <v>74</v>
      </c>
      <c r="E301" t="str">
        <f>"080069626948"</f>
        <v>080069626948</v>
      </c>
      <c r="F301" s="3">
        <v>45993</v>
      </c>
      <c r="G301">
        <v>202609</v>
      </c>
      <c r="H301" t="s">
        <v>75</v>
      </c>
      <c r="I301" t="s">
        <v>76</v>
      </c>
      <c r="J301" t="s">
        <v>77</v>
      </c>
      <c r="K301" t="s">
        <v>78</v>
      </c>
      <c r="L301" t="s">
        <v>914</v>
      </c>
      <c r="M301" t="s">
        <v>915</v>
      </c>
      <c r="N301" t="s">
        <v>916</v>
      </c>
      <c r="O301" t="s">
        <v>89</v>
      </c>
      <c r="P301" t="str">
        <f>"4170071454                    "</f>
        <v xml:space="preserve">4170071454                    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0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159.83000000000001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0</v>
      </c>
      <c r="AX301">
        <v>0</v>
      </c>
      <c r="AY301">
        <v>0</v>
      </c>
      <c r="AZ301">
        <v>0</v>
      </c>
      <c r="BA301">
        <v>0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1</v>
      </c>
      <c r="BI301">
        <v>8</v>
      </c>
      <c r="BJ301">
        <v>3.5</v>
      </c>
      <c r="BK301">
        <v>8</v>
      </c>
      <c r="BL301">
        <v>523.08000000000004</v>
      </c>
      <c r="BM301">
        <v>78.459999999999994</v>
      </c>
      <c r="BN301">
        <v>601.54</v>
      </c>
      <c r="BO301">
        <v>601.54</v>
      </c>
      <c r="BQ301" t="s">
        <v>917</v>
      </c>
      <c r="BR301" t="s">
        <v>82</v>
      </c>
      <c r="BS301" s="3">
        <v>45994</v>
      </c>
      <c r="BT301" s="4">
        <v>0.66666666666666663</v>
      </c>
      <c r="BU301" t="s">
        <v>918</v>
      </c>
      <c r="BV301" t="s">
        <v>84</v>
      </c>
      <c r="BY301">
        <v>17600</v>
      </c>
      <c r="CA301" t="s">
        <v>919</v>
      </c>
      <c r="CC301" t="s">
        <v>915</v>
      </c>
      <c r="CD301">
        <v>3370</v>
      </c>
      <c r="CE301" t="s">
        <v>93</v>
      </c>
      <c r="CF301" s="3">
        <v>45995</v>
      </c>
      <c r="CI301">
        <v>2</v>
      </c>
      <c r="CJ301">
        <v>1</v>
      </c>
      <c r="CK301">
        <v>23</v>
      </c>
      <c r="CL301" t="s">
        <v>87</v>
      </c>
    </row>
    <row r="302" spans="1:90" x14ac:dyDescent="0.3">
      <c r="A302" t="s">
        <v>72</v>
      </c>
      <c r="B302" t="s">
        <v>73</v>
      </c>
      <c r="C302" t="s">
        <v>74</v>
      </c>
      <c r="E302" t="str">
        <f>"080069626969"</f>
        <v>080069626969</v>
      </c>
      <c r="F302" s="3">
        <v>45993</v>
      </c>
      <c r="G302">
        <v>202609</v>
      </c>
      <c r="H302" t="s">
        <v>75</v>
      </c>
      <c r="I302" t="s">
        <v>76</v>
      </c>
      <c r="J302" t="s">
        <v>77</v>
      </c>
      <c r="K302" t="s">
        <v>78</v>
      </c>
      <c r="L302" t="s">
        <v>302</v>
      </c>
      <c r="M302" t="s">
        <v>303</v>
      </c>
      <c r="N302" t="s">
        <v>347</v>
      </c>
      <c r="O302" t="s">
        <v>89</v>
      </c>
      <c r="P302" t="str">
        <f>"4170071509                    "</f>
        <v xml:space="preserve">4170071509                    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0</v>
      </c>
      <c r="AH302">
        <v>0</v>
      </c>
      <c r="AI302">
        <v>0</v>
      </c>
      <c r="AJ302">
        <v>0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22.24</v>
      </c>
      <c r="AR302">
        <v>0</v>
      </c>
      <c r="AS302">
        <v>0</v>
      </c>
      <c r="AT302">
        <v>0</v>
      </c>
      <c r="AU302">
        <v>0</v>
      </c>
      <c r="AV302">
        <v>0</v>
      </c>
      <c r="AW302">
        <v>0</v>
      </c>
      <c r="AX302">
        <v>0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1</v>
      </c>
      <c r="BI302">
        <v>1</v>
      </c>
      <c r="BJ302">
        <v>0.2</v>
      </c>
      <c r="BK302">
        <v>1</v>
      </c>
      <c r="BL302">
        <v>72.78</v>
      </c>
      <c r="BM302">
        <v>10.92</v>
      </c>
      <c r="BN302">
        <v>83.7</v>
      </c>
      <c r="BO302">
        <v>83.7</v>
      </c>
      <c r="BQ302" t="s">
        <v>348</v>
      </c>
      <c r="BR302" t="s">
        <v>82</v>
      </c>
      <c r="BS302" s="3">
        <v>45994</v>
      </c>
      <c r="BT302" s="4">
        <v>0.42638888888888887</v>
      </c>
      <c r="BU302" t="s">
        <v>920</v>
      </c>
      <c r="BV302" t="s">
        <v>84</v>
      </c>
      <c r="BY302">
        <v>1200</v>
      </c>
      <c r="CA302">
        <v>8507115621084</v>
      </c>
      <c r="CC302" t="s">
        <v>303</v>
      </c>
      <c r="CD302" s="5" t="s">
        <v>350</v>
      </c>
      <c r="CE302" t="s">
        <v>134</v>
      </c>
      <c r="CF302" s="3">
        <v>45994</v>
      </c>
      <c r="CI302">
        <v>1</v>
      </c>
      <c r="CJ302">
        <v>1</v>
      </c>
      <c r="CK302">
        <v>21</v>
      </c>
      <c r="CL302" t="s">
        <v>87</v>
      </c>
    </row>
    <row r="303" spans="1:90" x14ac:dyDescent="0.3">
      <c r="A303" t="s">
        <v>72</v>
      </c>
      <c r="B303" t="s">
        <v>73</v>
      </c>
      <c r="C303" t="s">
        <v>74</v>
      </c>
      <c r="E303" t="str">
        <f>"080069626984"</f>
        <v>080069626984</v>
      </c>
      <c r="F303" s="3">
        <v>45993</v>
      </c>
      <c r="G303">
        <v>202609</v>
      </c>
      <c r="H303" t="s">
        <v>75</v>
      </c>
      <c r="I303" t="s">
        <v>76</v>
      </c>
      <c r="J303" t="s">
        <v>77</v>
      </c>
      <c r="K303" t="s">
        <v>78</v>
      </c>
      <c r="L303" t="s">
        <v>302</v>
      </c>
      <c r="M303" t="s">
        <v>303</v>
      </c>
      <c r="N303" t="s">
        <v>795</v>
      </c>
      <c r="O303" t="s">
        <v>80</v>
      </c>
      <c r="P303" t="str">
        <f>"4170071539                    "</f>
        <v xml:space="preserve">4170071539                    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0</v>
      </c>
      <c r="AJ303">
        <v>0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43.01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0</v>
      </c>
      <c r="AX303">
        <v>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2</v>
      </c>
      <c r="BI303">
        <v>14.8</v>
      </c>
      <c r="BJ303">
        <v>6.2</v>
      </c>
      <c r="BK303">
        <v>15</v>
      </c>
      <c r="BL303">
        <v>146.85</v>
      </c>
      <c r="BM303">
        <v>22.03</v>
      </c>
      <c r="BN303">
        <v>168.88</v>
      </c>
      <c r="BO303">
        <v>168.88</v>
      </c>
      <c r="BQ303" t="s">
        <v>796</v>
      </c>
      <c r="BR303" t="s">
        <v>82</v>
      </c>
      <c r="BS303" s="3">
        <v>45994</v>
      </c>
      <c r="BT303" s="4">
        <v>0.31736111111111109</v>
      </c>
      <c r="BU303" t="s">
        <v>797</v>
      </c>
      <c r="BV303" t="s">
        <v>84</v>
      </c>
      <c r="BY303">
        <v>30971.52</v>
      </c>
      <c r="CA303">
        <v>9107126013089</v>
      </c>
      <c r="CC303" t="s">
        <v>303</v>
      </c>
      <c r="CD303" s="5" t="s">
        <v>664</v>
      </c>
      <c r="CE303" t="s">
        <v>894</v>
      </c>
      <c r="CF303" s="3">
        <v>45995</v>
      </c>
      <c r="CI303">
        <v>1</v>
      </c>
      <c r="CJ303">
        <v>1</v>
      </c>
      <c r="CK303">
        <v>41</v>
      </c>
      <c r="CL303" t="s">
        <v>87</v>
      </c>
    </row>
    <row r="304" spans="1:90" x14ac:dyDescent="0.3">
      <c r="A304" t="s">
        <v>72</v>
      </c>
      <c r="B304" t="s">
        <v>73</v>
      </c>
      <c r="C304" t="s">
        <v>74</v>
      </c>
      <c r="E304" t="str">
        <f>"080069626993"</f>
        <v>080069626993</v>
      </c>
      <c r="F304" s="3">
        <v>45993</v>
      </c>
      <c r="G304">
        <v>202609</v>
      </c>
      <c r="H304" t="s">
        <v>75</v>
      </c>
      <c r="I304" t="s">
        <v>76</v>
      </c>
      <c r="J304" t="s">
        <v>77</v>
      </c>
      <c r="K304" t="s">
        <v>78</v>
      </c>
      <c r="L304" t="s">
        <v>141</v>
      </c>
      <c r="M304" t="s">
        <v>142</v>
      </c>
      <c r="N304" t="s">
        <v>738</v>
      </c>
      <c r="O304" t="s">
        <v>89</v>
      </c>
      <c r="P304" t="str">
        <f>"4170071555                    "</f>
        <v xml:space="preserve">4170071555                    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0</v>
      </c>
      <c r="AJ304">
        <v>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22.24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0</v>
      </c>
      <c r="AX304">
        <v>0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1</v>
      </c>
      <c r="BI304">
        <v>1</v>
      </c>
      <c r="BJ304">
        <v>0.2</v>
      </c>
      <c r="BK304">
        <v>1</v>
      </c>
      <c r="BL304">
        <v>72.78</v>
      </c>
      <c r="BM304">
        <v>10.92</v>
      </c>
      <c r="BN304">
        <v>83.7</v>
      </c>
      <c r="BO304">
        <v>83.7</v>
      </c>
      <c r="BQ304" t="s">
        <v>739</v>
      </c>
      <c r="BR304" t="s">
        <v>82</v>
      </c>
      <c r="BS304" s="3">
        <v>45994</v>
      </c>
      <c r="BT304" s="4">
        <v>0.42986111111111114</v>
      </c>
      <c r="BU304" t="s">
        <v>740</v>
      </c>
      <c r="BV304" t="s">
        <v>84</v>
      </c>
      <c r="BY304">
        <v>1200</v>
      </c>
      <c r="CA304" t="s">
        <v>277</v>
      </c>
      <c r="CC304" t="s">
        <v>142</v>
      </c>
      <c r="CD304">
        <v>6001</v>
      </c>
      <c r="CE304" t="s">
        <v>134</v>
      </c>
      <c r="CF304" s="3">
        <v>45994</v>
      </c>
      <c r="CI304">
        <v>1</v>
      </c>
      <c r="CJ304">
        <v>1</v>
      </c>
      <c r="CK304">
        <v>21</v>
      </c>
      <c r="CL304" t="s">
        <v>87</v>
      </c>
    </row>
    <row r="305" spans="1:90" x14ac:dyDescent="0.3">
      <c r="A305" t="s">
        <v>72</v>
      </c>
      <c r="B305" t="s">
        <v>73</v>
      </c>
      <c r="C305" t="s">
        <v>74</v>
      </c>
      <c r="E305" t="str">
        <f>"080069627012"</f>
        <v>080069627012</v>
      </c>
      <c r="F305" s="3">
        <v>45993</v>
      </c>
      <c r="G305">
        <v>202609</v>
      </c>
      <c r="H305" t="s">
        <v>75</v>
      </c>
      <c r="I305" t="s">
        <v>76</v>
      </c>
      <c r="J305" t="s">
        <v>77</v>
      </c>
      <c r="K305" t="s">
        <v>78</v>
      </c>
      <c r="L305" t="s">
        <v>141</v>
      </c>
      <c r="M305" t="s">
        <v>142</v>
      </c>
      <c r="N305" t="s">
        <v>738</v>
      </c>
      <c r="O305" t="s">
        <v>89</v>
      </c>
      <c r="P305" t="str">
        <f>"4170071550                    "</f>
        <v xml:space="preserve">4170071550                    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0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22.24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1</v>
      </c>
      <c r="BI305">
        <v>1</v>
      </c>
      <c r="BJ305">
        <v>0.2</v>
      </c>
      <c r="BK305">
        <v>1</v>
      </c>
      <c r="BL305">
        <v>72.78</v>
      </c>
      <c r="BM305">
        <v>10.92</v>
      </c>
      <c r="BN305">
        <v>83.7</v>
      </c>
      <c r="BO305">
        <v>83.7</v>
      </c>
      <c r="BQ305" t="s">
        <v>739</v>
      </c>
      <c r="BR305" t="s">
        <v>82</v>
      </c>
      <c r="BS305" s="3">
        <v>45994</v>
      </c>
      <c r="BT305" s="4">
        <v>0.42986111111111114</v>
      </c>
      <c r="BU305" t="s">
        <v>740</v>
      </c>
      <c r="BV305" t="s">
        <v>84</v>
      </c>
      <c r="BY305">
        <v>1200</v>
      </c>
      <c r="CA305" t="s">
        <v>277</v>
      </c>
      <c r="CC305" t="s">
        <v>142</v>
      </c>
      <c r="CD305">
        <v>6001</v>
      </c>
      <c r="CE305" t="s">
        <v>134</v>
      </c>
      <c r="CF305" s="3">
        <v>45994</v>
      </c>
      <c r="CI305">
        <v>1</v>
      </c>
      <c r="CJ305">
        <v>1</v>
      </c>
      <c r="CK305">
        <v>21</v>
      </c>
      <c r="CL305" t="s">
        <v>87</v>
      </c>
    </row>
    <row r="306" spans="1:90" x14ac:dyDescent="0.3">
      <c r="A306" t="s">
        <v>72</v>
      </c>
      <c r="B306" t="s">
        <v>73</v>
      </c>
      <c r="C306" t="s">
        <v>74</v>
      </c>
      <c r="E306" t="str">
        <f>"080069627016"</f>
        <v>080069627016</v>
      </c>
      <c r="F306" s="3">
        <v>45993</v>
      </c>
      <c r="G306">
        <v>202609</v>
      </c>
      <c r="H306" t="s">
        <v>75</v>
      </c>
      <c r="I306" t="s">
        <v>76</v>
      </c>
      <c r="J306" t="s">
        <v>77</v>
      </c>
      <c r="K306" t="s">
        <v>78</v>
      </c>
      <c r="L306" t="s">
        <v>156</v>
      </c>
      <c r="M306" t="s">
        <v>157</v>
      </c>
      <c r="N306" t="s">
        <v>261</v>
      </c>
      <c r="O306" t="s">
        <v>89</v>
      </c>
      <c r="P306" t="str">
        <f>"4170071542                    "</f>
        <v xml:space="preserve">4170071542                    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44.47</v>
      </c>
      <c r="AR306">
        <v>0</v>
      </c>
      <c r="AS306">
        <v>0</v>
      </c>
      <c r="AT306">
        <v>0</v>
      </c>
      <c r="AU306">
        <v>0</v>
      </c>
      <c r="AV306">
        <v>0</v>
      </c>
      <c r="AW306">
        <v>0</v>
      </c>
      <c r="AX306">
        <v>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1</v>
      </c>
      <c r="BI306">
        <v>4</v>
      </c>
      <c r="BJ306">
        <v>1.7</v>
      </c>
      <c r="BK306">
        <v>4</v>
      </c>
      <c r="BL306">
        <v>145.53</v>
      </c>
      <c r="BM306">
        <v>21.83</v>
      </c>
      <c r="BN306">
        <v>167.36</v>
      </c>
      <c r="BO306">
        <v>167.36</v>
      </c>
      <c r="BQ306" t="s">
        <v>262</v>
      </c>
      <c r="BR306" t="s">
        <v>82</v>
      </c>
      <c r="BS306" s="3">
        <v>45994</v>
      </c>
      <c r="BT306" s="4">
        <v>0.41249999999999998</v>
      </c>
      <c r="BU306" t="s">
        <v>263</v>
      </c>
      <c r="BV306" t="s">
        <v>84</v>
      </c>
      <c r="BY306">
        <v>8550</v>
      </c>
      <c r="CA306" t="s">
        <v>264</v>
      </c>
      <c r="CC306" t="s">
        <v>157</v>
      </c>
      <c r="CD306">
        <v>7441</v>
      </c>
      <c r="CE306" t="s">
        <v>86</v>
      </c>
      <c r="CF306" s="3">
        <v>45995</v>
      </c>
      <c r="CI306">
        <v>1</v>
      </c>
      <c r="CJ306">
        <v>1</v>
      </c>
      <c r="CK306">
        <v>21</v>
      </c>
      <c r="CL306" t="s">
        <v>87</v>
      </c>
    </row>
    <row r="307" spans="1:90" x14ac:dyDescent="0.3">
      <c r="A307" t="s">
        <v>72</v>
      </c>
      <c r="B307" t="s">
        <v>73</v>
      </c>
      <c r="C307" t="s">
        <v>74</v>
      </c>
      <c r="E307" t="str">
        <f>"080069627026"</f>
        <v>080069627026</v>
      </c>
      <c r="F307" s="3">
        <v>45993</v>
      </c>
      <c r="G307">
        <v>202609</v>
      </c>
      <c r="H307" t="s">
        <v>75</v>
      </c>
      <c r="I307" t="s">
        <v>76</v>
      </c>
      <c r="J307" t="s">
        <v>77</v>
      </c>
      <c r="K307" t="s">
        <v>78</v>
      </c>
      <c r="L307" t="s">
        <v>141</v>
      </c>
      <c r="M307" t="s">
        <v>142</v>
      </c>
      <c r="N307" t="s">
        <v>738</v>
      </c>
      <c r="O307" t="s">
        <v>89</v>
      </c>
      <c r="P307" t="str">
        <f>"4170071551                    "</f>
        <v xml:space="preserve">4170071551                    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22.24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1</v>
      </c>
      <c r="BI307">
        <v>1</v>
      </c>
      <c r="BJ307">
        <v>0.2</v>
      </c>
      <c r="BK307">
        <v>1</v>
      </c>
      <c r="BL307">
        <v>72.78</v>
      </c>
      <c r="BM307">
        <v>10.92</v>
      </c>
      <c r="BN307">
        <v>83.7</v>
      </c>
      <c r="BO307">
        <v>83.7</v>
      </c>
      <c r="BQ307" t="s">
        <v>739</v>
      </c>
      <c r="BR307" t="s">
        <v>82</v>
      </c>
      <c r="BS307" s="3">
        <v>45994</v>
      </c>
      <c r="BT307" s="4">
        <v>0.42986111111111114</v>
      </c>
      <c r="BU307" t="s">
        <v>740</v>
      </c>
      <c r="BV307" t="s">
        <v>84</v>
      </c>
      <c r="BY307">
        <v>1200</v>
      </c>
      <c r="CA307" t="s">
        <v>277</v>
      </c>
      <c r="CC307" t="s">
        <v>142</v>
      </c>
      <c r="CD307">
        <v>6001</v>
      </c>
      <c r="CE307" t="s">
        <v>134</v>
      </c>
      <c r="CF307" s="3">
        <v>45994</v>
      </c>
      <c r="CI307">
        <v>1</v>
      </c>
      <c r="CJ307">
        <v>1</v>
      </c>
      <c r="CK307">
        <v>21</v>
      </c>
      <c r="CL307" t="s">
        <v>87</v>
      </c>
    </row>
    <row r="308" spans="1:90" x14ac:dyDescent="0.3">
      <c r="A308" t="s">
        <v>72</v>
      </c>
      <c r="B308" t="s">
        <v>73</v>
      </c>
      <c r="C308" t="s">
        <v>74</v>
      </c>
      <c r="E308" t="str">
        <f>"080069627038"</f>
        <v>080069627038</v>
      </c>
      <c r="F308" s="3">
        <v>45993</v>
      </c>
      <c r="G308">
        <v>202609</v>
      </c>
      <c r="H308" t="s">
        <v>75</v>
      </c>
      <c r="I308" t="s">
        <v>76</v>
      </c>
      <c r="J308" t="s">
        <v>77</v>
      </c>
      <c r="K308" t="s">
        <v>78</v>
      </c>
      <c r="L308" t="s">
        <v>148</v>
      </c>
      <c r="M308" t="s">
        <v>149</v>
      </c>
      <c r="N308" t="s">
        <v>150</v>
      </c>
      <c r="O308" t="s">
        <v>89</v>
      </c>
      <c r="P308" t="str">
        <f>"4170071579                    "</f>
        <v xml:space="preserve">4170071579                    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62.55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0</v>
      </c>
      <c r="AX308">
        <v>0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1</v>
      </c>
      <c r="BI308">
        <v>3</v>
      </c>
      <c r="BJ308">
        <v>0.9</v>
      </c>
      <c r="BK308">
        <v>3</v>
      </c>
      <c r="BL308">
        <v>204.7</v>
      </c>
      <c r="BM308">
        <v>30.71</v>
      </c>
      <c r="BN308">
        <v>235.41</v>
      </c>
      <c r="BO308">
        <v>235.41</v>
      </c>
      <c r="BQ308" t="s">
        <v>151</v>
      </c>
      <c r="BR308" t="s">
        <v>82</v>
      </c>
      <c r="BS308" s="3">
        <v>45994</v>
      </c>
      <c r="BT308" s="4">
        <v>0.49444444444444446</v>
      </c>
      <c r="BU308" t="s">
        <v>152</v>
      </c>
      <c r="BV308" t="s">
        <v>84</v>
      </c>
      <c r="BY308">
        <v>4275</v>
      </c>
      <c r="CA308" t="s">
        <v>155</v>
      </c>
      <c r="CC308" t="s">
        <v>149</v>
      </c>
      <c r="CD308">
        <v>7300</v>
      </c>
      <c r="CE308" t="s">
        <v>86</v>
      </c>
      <c r="CF308" s="3">
        <v>45995</v>
      </c>
      <c r="CI308">
        <v>1</v>
      </c>
      <c r="CJ308">
        <v>1</v>
      </c>
      <c r="CK308">
        <v>23</v>
      </c>
      <c r="CL308" t="s">
        <v>87</v>
      </c>
    </row>
    <row r="309" spans="1:90" x14ac:dyDescent="0.3">
      <c r="A309" t="s">
        <v>72</v>
      </c>
      <c r="B309" t="s">
        <v>73</v>
      </c>
      <c r="C309" t="s">
        <v>74</v>
      </c>
      <c r="E309" t="str">
        <f>"080069627037"</f>
        <v>080069627037</v>
      </c>
      <c r="F309" s="3">
        <v>45993</v>
      </c>
      <c r="G309">
        <v>202609</v>
      </c>
      <c r="H309" t="s">
        <v>75</v>
      </c>
      <c r="I309" t="s">
        <v>76</v>
      </c>
      <c r="J309" t="s">
        <v>77</v>
      </c>
      <c r="K309" t="s">
        <v>78</v>
      </c>
      <c r="L309" t="s">
        <v>141</v>
      </c>
      <c r="M309" t="s">
        <v>142</v>
      </c>
      <c r="N309" t="s">
        <v>738</v>
      </c>
      <c r="O309" t="s">
        <v>89</v>
      </c>
      <c r="P309" t="str">
        <f>"4170071566                    "</f>
        <v xml:space="preserve">4170071566                    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22.24</v>
      </c>
      <c r="AR309">
        <v>0</v>
      </c>
      <c r="AS309">
        <v>0</v>
      </c>
      <c r="AT309">
        <v>0</v>
      </c>
      <c r="AU309">
        <v>0</v>
      </c>
      <c r="AV309">
        <v>0</v>
      </c>
      <c r="AW309">
        <v>0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1</v>
      </c>
      <c r="BI309">
        <v>1</v>
      </c>
      <c r="BJ309">
        <v>0.2</v>
      </c>
      <c r="BK309">
        <v>1</v>
      </c>
      <c r="BL309">
        <v>72.78</v>
      </c>
      <c r="BM309">
        <v>10.92</v>
      </c>
      <c r="BN309">
        <v>83.7</v>
      </c>
      <c r="BO309">
        <v>83.7</v>
      </c>
      <c r="BQ309" t="s">
        <v>739</v>
      </c>
      <c r="BR309" t="s">
        <v>82</v>
      </c>
      <c r="BS309" s="3">
        <v>45994</v>
      </c>
      <c r="BT309" s="4">
        <v>0.42986111111111114</v>
      </c>
      <c r="BU309" t="s">
        <v>740</v>
      </c>
      <c r="BV309" t="s">
        <v>84</v>
      </c>
      <c r="BY309">
        <v>1200</v>
      </c>
      <c r="CA309" t="s">
        <v>277</v>
      </c>
      <c r="CC309" t="s">
        <v>142</v>
      </c>
      <c r="CD309">
        <v>6001</v>
      </c>
      <c r="CE309" t="s">
        <v>134</v>
      </c>
      <c r="CF309" s="3">
        <v>45994</v>
      </c>
      <c r="CI309">
        <v>1</v>
      </c>
      <c r="CJ309">
        <v>1</v>
      </c>
      <c r="CK309">
        <v>21</v>
      </c>
      <c r="CL309" t="s">
        <v>87</v>
      </c>
    </row>
    <row r="310" spans="1:90" x14ac:dyDescent="0.3">
      <c r="A310" t="s">
        <v>72</v>
      </c>
      <c r="B310" t="s">
        <v>73</v>
      </c>
      <c r="C310" t="s">
        <v>74</v>
      </c>
      <c r="E310" t="str">
        <f>"080069627062"</f>
        <v>080069627062</v>
      </c>
      <c r="F310" s="3">
        <v>45993</v>
      </c>
      <c r="G310">
        <v>202609</v>
      </c>
      <c r="H310" t="s">
        <v>75</v>
      </c>
      <c r="I310" t="s">
        <v>76</v>
      </c>
      <c r="J310" t="s">
        <v>77</v>
      </c>
      <c r="K310" t="s">
        <v>78</v>
      </c>
      <c r="L310" t="s">
        <v>156</v>
      </c>
      <c r="M310" t="s">
        <v>157</v>
      </c>
      <c r="N310" t="s">
        <v>921</v>
      </c>
      <c r="O310" t="s">
        <v>89</v>
      </c>
      <c r="P310" t="str">
        <f>"4170071512                    "</f>
        <v xml:space="preserve">4170071512                    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0</v>
      </c>
      <c r="AJ310">
        <v>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22.24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1</v>
      </c>
      <c r="BI310">
        <v>1</v>
      </c>
      <c r="BJ310">
        <v>0.2</v>
      </c>
      <c r="BK310">
        <v>1</v>
      </c>
      <c r="BL310">
        <v>72.78</v>
      </c>
      <c r="BM310">
        <v>10.92</v>
      </c>
      <c r="BN310">
        <v>83.7</v>
      </c>
      <c r="BO310">
        <v>83.7</v>
      </c>
      <c r="BQ310" t="s">
        <v>922</v>
      </c>
      <c r="BR310" t="s">
        <v>82</v>
      </c>
      <c r="BS310" s="3">
        <v>45994</v>
      </c>
      <c r="BT310" s="4">
        <v>0.39097222222222222</v>
      </c>
      <c r="BU310" t="s">
        <v>923</v>
      </c>
      <c r="BV310" t="s">
        <v>84</v>
      </c>
      <c r="BY310">
        <v>1200</v>
      </c>
      <c r="CA310" t="s">
        <v>264</v>
      </c>
      <c r="CC310" t="s">
        <v>157</v>
      </c>
      <c r="CD310">
        <v>7441</v>
      </c>
      <c r="CE310" t="s">
        <v>134</v>
      </c>
      <c r="CF310" s="3">
        <v>45995</v>
      </c>
      <c r="CI310">
        <v>1</v>
      </c>
      <c r="CJ310">
        <v>1</v>
      </c>
      <c r="CK310">
        <v>21</v>
      </c>
      <c r="CL310" t="s">
        <v>87</v>
      </c>
    </row>
    <row r="311" spans="1:90" x14ac:dyDescent="0.3">
      <c r="A311" t="s">
        <v>72</v>
      </c>
      <c r="B311" t="s">
        <v>73</v>
      </c>
      <c r="C311" t="s">
        <v>74</v>
      </c>
      <c r="E311" t="str">
        <f>"080069627075"</f>
        <v>080069627075</v>
      </c>
      <c r="F311" s="3">
        <v>45993</v>
      </c>
      <c r="G311">
        <v>202609</v>
      </c>
      <c r="H311" t="s">
        <v>75</v>
      </c>
      <c r="I311" t="s">
        <v>76</v>
      </c>
      <c r="J311" t="s">
        <v>77</v>
      </c>
      <c r="K311" t="s">
        <v>78</v>
      </c>
      <c r="L311" t="s">
        <v>535</v>
      </c>
      <c r="M311" t="s">
        <v>535</v>
      </c>
      <c r="N311" t="s">
        <v>924</v>
      </c>
      <c r="O311" t="s">
        <v>89</v>
      </c>
      <c r="P311" t="str">
        <f>"4170071556                    "</f>
        <v xml:space="preserve">4170071556                    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0</v>
      </c>
      <c r="AJ311">
        <v>0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82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0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1</v>
      </c>
      <c r="BI311">
        <v>4</v>
      </c>
      <c r="BJ311">
        <v>3.4</v>
      </c>
      <c r="BK311">
        <v>4</v>
      </c>
      <c r="BL311">
        <v>268.37</v>
      </c>
      <c r="BM311">
        <v>40.26</v>
      </c>
      <c r="BN311">
        <v>308.63</v>
      </c>
      <c r="BO311">
        <v>308.63</v>
      </c>
      <c r="BQ311" t="s">
        <v>925</v>
      </c>
      <c r="BR311" t="s">
        <v>82</v>
      </c>
      <c r="BS311" s="3">
        <v>45994</v>
      </c>
      <c r="BT311" s="4">
        <v>0.85972222222222228</v>
      </c>
      <c r="BU311" t="s">
        <v>926</v>
      </c>
      <c r="BV311" t="s">
        <v>87</v>
      </c>
      <c r="BY311">
        <v>16965</v>
      </c>
      <c r="CA311" t="s">
        <v>539</v>
      </c>
      <c r="CC311" t="s">
        <v>535</v>
      </c>
      <c r="CD311">
        <v>7654</v>
      </c>
      <c r="CE311" t="s">
        <v>86</v>
      </c>
      <c r="CF311" s="3">
        <v>45995</v>
      </c>
      <c r="CI311">
        <v>1</v>
      </c>
      <c r="CJ311">
        <v>1</v>
      </c>
      <c r="CK311">
        <v>23</v>
      </c>
      <c r="CL311" t="s">
        <v>87</v>
      </c>
    </row>
    <row r="312" spans="1:90" x14ac:dyDescent="0.3">
      <c r="A312" t="s">
        <v>72</v>
      </c>
      <c r="B312" t="s">
        <v>73</v>
      </c>
      <c r="C312" t="s">
        <v>74</v>
      </c>
      <c r="E312" t="str">
        <f>"080069627085"</f>
        <v>080069627085</v>
      </c>
      <c r="F312" s="3">
        <v>45993</v>
      </c>
      <c r="G312">
        <v>202609</v>
      </c>
      <c r="H312" t="s">
        <v>75</v>
      </c>
      <c r="I312" t="s">
        <v>76</v>
      </c>
      <c r="J312" t="s">
        <v>77</v>
      </c>
      <c r="K312" t="s">
        <v>78</v>
      </c>
      <c r="L312" t="s">
        <v>114</v>
      </c>
      <c r="M312" t="s">
        <v>115</v>
      </c>
      <c r="N312" t="s">
        <v>116</v>
      </c>
      <c r="O312" t="s">
        <v>89</v>
      </c>
      <c r="P312" t="str">
        <f>"4170071500                    "</f>
        <v xml:space="preserve">4170071500                    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43.09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0</v>
      </c>
      <c r="AX312">
        <v>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1</v>
      </c>
      <c r="BI312">
        <v>1</v>
      </c>
      <c r="BJ312">
        <v>0.2</v>
      </c>
      <c r="BK312">
        <v>1</v>
      </c>
      <c r="BL312">
        <v>141.02000000000001</v>
      </c>
      <c r="BM312">
        <v>21.15</v>
      </c>
      <c r="BN312">
        <v>162.16999999999999</v>
      </c>
      <c r="BO312">
        <v>162.16999999999999</v>
      </c>
      <c r="BQ312" t="s">
        <v>117</v>
      </c>
      <c r="BR312" t="s">
        <v>82</v>
      </c>
      <c r="BS312" s="3">
        <v>45996</v>
      </c>
      <c r="BT312" s="4">
        <v>0.51388888888888884</v>
      </c>
      <c r="BU312" t="s">
        <v>118</v>
      </c>
      <c r="BV312" t="s">
        <v>87</v>
      </c>
      <c r="BY312">
        <v>1200</v>
      </c>
      <c r="CA312" t="s">
        <v>119</v>
      </c>
      <c r="CC312" t="s">
        <v>115</v>
      </c>
      <c r="CD312">
        <v>6715</v>
      </c>
      <c r="CE312" t="s">
        <v>134</v>
      </c>
      <c r="CF312" s="3">
        <v>45999</v>
      </c>
      <c r="CI312">
        <v>2</v>
      </c>
      <c r="CJ312">
        <v>3</v>
      </c>
      <c r="CK312">
        <v>23</v>
      </c>
      <c r="CL312" t="s">
        <v>87</v>
      </c>
    </row>
    <row r="313" spans="1:90" x14ac:dyDescent="0.3">
      <c r="A313" t="s">
        <v>72</v>
      </c>
      <c r="B313" t="s">
        <v>73</v>
      </c>
      <c r="C313" t="s">
        <v>74</v>
      </c>
      <c r="E313" t="str">
        <f>"080069627097"</f>
        <v>080069627097</v>
      </c>
      <c r="F313" s="3">
        <v>45993</v>
      </c>
      <c r="G313">
        <v>202609</v>
      </c>
      <c r="H313" t="s">
        <v>75</v>
      </c>
      <c r="I313" t="s">
        <v>76</v>
      </c>
      <c r="J313" t="s">
        <v>77</v>
      </c>
      <c r="K313" t="s">
        <v>78</v>
      </c>
      <c r="L313" t="s">
        <v>100</v>
      </c>
      <c r="M313" t="s">
        <v>101</v>
      </c>
      <c r="N313" t="s">
        <v>102</v>
      </c>
      <c r="O313" t="s">
        <v>89</v>
      </c>
      <c r="P313" t="str">
        <f>"4170071491                    "</f>
        <v xml:space="preserve">4170071491                    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22.24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1</v>
      </c>
      <c r="BI313">
        <v>1</v>
      </c>
      <c r="BJ313">
        <v>0.2</v>
      </c>
      <c r="BK313">
        <v>1</v>
      </c>
      <c r="BL313">
        <v>72.78</v>
      </c>
      <c r="BM313">
        <v>10.92</v>
      </c>
      <c r="BN313">
        <v>83.7</v>
      </c>
      <c r="BO313">
        <v>83.7</v>
      </c>
      <c r="BQ313" t="s">
        <v>103</v>
      </c>
      <c r="BR313" t="s">
        <v>82</v>
      </c>
      <c r="BS313" s="3">
        <v>45994</v>
      </c>
      <c r="BT313" s="4">
        <v>0.33819444444444446</v>
      </c>
      <c r="BU313" t="s">
        <v>104</v>
      </c>
      <c r="BV313" t="s">
        <v>84</v>
      </c>
      <c r="BY313">
        <v>1200</v>
      </c>
      <c r="CA313" t="s">
        <v>107</v>
      </c>
      <c r="CC313" t="s">
        <v>101</v>
      </c>
      <c r="CD313">
        <v>4051</v>
      </c>
      <c r="CE313" t="s">
        <v>134</v>
      </c>
      <c r="CF313" s="3">
        <v>45994</v>
      </c>
      <c r="CI313">
        <v>1</v>
      </c>
      <c r="CJ313">
        <v>1</v>
      </c>
      <c r="CK313">
        <v>21</v>
      </c>
      <c r="CL313" t="s">
        <v>87</v>
      </c>
    </row>
    <row r="314" spans="1:90" x14ac:dyDescent="0.3">
      <c r="A314" t="s">
        <v>72</v>
      </c>
      <c r="B314" t="s">
        <v>73</v>
      </c>
      <c r="C314" t="s">
        <v>74</v>
      </c>
      <c r="E314" t="str">
        <f>"080069627102"</f>
        <v>080069627102</v>
      </c>
      <c r="F314" s="3">
        <v>45993</v>
      </c>
      <c r="G314">
        <v>202609</v>
      </c>
      <c r="H314" t="s">
        <v>75</v>
      </c>
      <c r="I314" t="s">
        <v>76</v>
      </c>
      <c r="J314" t="s">
        <v>77</v>
      </c>
      <c r="K314" t="s">
        <v>78</v>
      </c>
      <c r="L314" t="s">
        <v>169</v>
      </c>
      <c r="M314" t="s">
        <v>170</v>
      </c>
      <c r="N314" t="s">
        <v>525</v>
      </c>
      <c r="O314" t="s">
        <v>89</v>
      </c>
      <c r="P314" t="str">
        <f>"4170071503                    "</f>
        <v xml:space="preserve">4170071503                    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  <c r="AJ314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43.09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1</v>
      </c>
      <c r="BI314">
        <v>1</v>
      </c>
      <c r="BJ314">
        <v>0.2</v>
      </c>
      <c r="BK314">
        <v>1</v>
      </c>
      <c r="BL314">
        <v>141.02000000000001</v>
      </c>
      <c r="BM314">
        <v>21.15</v>
      </c>
      <c r="BN314">
        <v>162.16999999999999</v>
      </c>
      <c r="BO314">
        <v>162.16999999999999</v>
      </c>
      <c r="BQ314" t="s">
        <v>526</v>
      </c>
      <c r="BR314" t="s">
        <v>82</v>
      </c>
      <c r="BS314" s="3">
        <v>45994</v>
      </c>
      <c r="BT314" s="4">
        <v>0.42916666666666664</v>
      </c>
      <c r="BU314" t="s">
        <v>527</v>
      </c>
      <c r="BV314" t="s">
        <v>84</v>
      </c>
      <c r="BY314">
        <v>1200</v>
      </c>
      <c r="CA314">
        <v>8608105569083</v>
      </c>
      <c r="CC314" t="s">
        <v>170</v>
      </c>
      <c r="CD314">
        <v>1020</v>
      </c>
      <c r="CE314" t="s">
        <v>134</v>
      </c>
      <c r="CF314" s="3">
        <v>45994</v>
      </c>
      <c r="CI314">
        <v>1</v>
      </c>
      <c r="CJ314">
        <v>1</v>
      </c>
      <c r="CK314">
        <v>23</v>
      </c>
      <c r="CL314" t="s">
        <v>87</v>
      </c>
    </row>
    <row r="315" spans="1:90" x14ac:dyDescent="0.3">
      <c r="A315" t="s">
        <v>72</v>
      </c>
      <c r="B315" t="s">
        <v>73</v>
      </c>
      <c r="C315" t="s">
        <v>74</v>
      </c>
      <c r="E315" t="str">
        <f>"080069627117"</f>
        <v>080069627117</v>
      </c>
      <c r="F315" s="3">
        <v>45993</v>
      </c>
      <c r="G315">
        <v>202609</v>
      </c>
      <c r="H315" t="s">
        <v>75</v>
      </c>
      <c r="I315" t="s">
        <v>76</v>
      </c>
      <c r="J315" t="s">
        <v>77</v>
      </c>
      <c r="K315" t="s">
        <v>78</v>
      </c>
      <c r="L315" t="s">
        <v>120</v>
      </c>
      <c r="M315" t="s">
        <v>121</v>
      </c>
      <c r="N315" t="s">
        <v>163</v>
      </c>
      <c r="O315" t="s">
        <v>89</v>
      </c>
      <c r="P315" t="str">
        <f>"4170071569                    "</f>
        <v xml:space="preserve">4170071569                    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22.24</v>
      </c>
      <c r="AR315">
        <v>0</v>
      </c>
      <c r="AS315">
        <v>0</v>
      </c>
      <c r="AT315">
        <v>0</v>
      </c>
      <c r="AU315">
        <v>0</v>
      </c>
      <c r="AV315">
        <v>0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1</v>
      </c>
      <c r="BI315">
        <v>1</v>
      </c>
      <c r="BJ315">
        <v>0.2</v>
      </c>
      <c r="BK315">
        <v>1</v>
      </c>
      <c r="BL315">
        <v>72.78</v>
      </c>
      <c r="BM315">
        <v>10.92</v>
      </c>
      <c r="BN315">
        <v>83.7</v>
      </c>
      <c r="BO315">
        <v>83.7</v>
      </c>
      <c r="BQ315" t="s">
        <v>164</v>
      </c>
      <c r="BR315" t="s">
        <v>82</v>
      </c>
      <c r="BS315" s="3">
        <v>45994</v>
      </c>
      <c r="BT315" s="4">
        <v>0.40416666666666667</v>
      </c>
      <c r="BU315" t="s">
        <v>165</v>
      </c>
      <c r="BV315" t="s">
        <v>84</v>
      </c>
      <c r="BY315">
        <v>1200</v>
      </c>
      <c r="CA315" t="s">
        <v>126</v>
      </c>
      <c r="CC315" t="s">
        <v>121</v>
      </c>
      <c r="CD315">
        <v>6230</v>
      </c>
      <c r="CE315" t="s">
        <v>450</v>
      </c>
      <c r="CF315" s="3">
        <v>45995</v>
      </c>
      <c r="CI315">
        <v>1</v>
      </c>
      <c r="CJ315">
        <v>1</v>
      </c>
      <c r="CK315">
        <v>21</v>
      </c>
      <c r="CL315" t="s">
        <v>87</v>
      </c>
    </row>
    <row r="316" spans="1:90" x14ac:dyDescent="0.3">
      <c r="A316" t="s">
        <v>72</v>
      </c>
      <c r="B316" t="s">
        <v>73</v>
      </c>
      <c r="C316" t="s">
        <v>74</v>
      </c>
      <c r="E316" t="str">
        <f>"080069627125"</f>
        <v>080069627125</v>
      </c>
      <c r="F316" s="3">
        <v>45993</v>
      </c>
      <c r="G316">
        <v>202609</v>
      </c>
      <c r="H316" t="s">
        <v>75</v>
      </c>
      <c r="I316" t="s">
        <v>76</v>
      </c>
      <c r="J316" t="s">
        <v>77</v>
      </c>
      <c r="K316" t="s">
        <v>78</v>
      </c>
      <c r="L316" t="s">
        <v>302</v>
      </c>
      <c r="M316" t="s">
        <v>303</v>
      </c>
      <c r="N316" t="s">
        <v>887</v>
      </c>
      <c r="O316" t="s">
        <v>89</v>
      </c>
      <c r="P316" t="str">
        <f>"4170071600                    "</f>
        <v xml:space="preserve">4170071600                    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22.24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1</v>
      </c>
      <c r="BI316">
        <v>1</v>
      </c>
      <c r="BJ316">
        <v>0.2</v>
      </c>
      <c r="BK316">
        <v>1</v>
      </c>
      <c r="BL316">
        <v>72.78</v>
      </c>
      <c r="BM316">
        <v>10.92</v>
      </c>
      <c r="BN316">
        <v>83.7</v>
      </c>
      <c r="BO316">
        <v>83.7</v>
      </c>
      <c r="BQ316" t="s">
        <v>888</v>
      </c>
      <c r="BR316" t="s">
        <v>82</v>
      </c>
      <c r="BS316" s="3">
        <v>45994</v>
      </c>
      <c r="BT316" s="4">
        <v>0.4236111111111111</v>
      </c>
      <c r="BU316" t="s">
        <v>927</v>
      </c>
      <c r="BV316" t="s">
        <v>84</v>
      </c>
      <c r="BY316">
        <v>1200</v>
      </c>
      <c r="CA316">
        <v>8303236124087</v>
      </c>
      <c r="CC316" t="s">
        <v>303</v>
      </c>
      <c r="CD316" s="5" t="s">
        <v>307</v>
      </c>
      <c r="CE316" t="s">
        <v>134</v>
      </c>
      <c r="CF316" s="3">
        <v>45994</v>
      </c>
      <c r="CI316">
        <v>1</v>
      </c>
      <c r="CJ316">
        <v>1</v>
      </c>
      <c r="CK316">
        <v>21</v>
      </c>
      <c r="CL316" t="s">
        <v>87</v>
      </c>
    </row>
    <row r="317" spans="1:90" x14ac:dyDescent="0.3">
      <c r="A317" t="s">
        <v>72</v>
      </c>
      <c r="B317" t="s">
        <v>73</v>
      </c>
      <c r="C317" t="s">
        <v>74</v>
      </c>
      <c r="E317" t="str">
        <f>"080069627132"</f>
        <v>080069627132</v>
      </c>
      <c r="F317" s="3">
        <v>45993</v>
      </c>
      <c r="G317">
        <v>202609</v>
      </c>
      <c r="H317" t="s">
        <v>75</v>
      </c>
      <c r="I317" t="s">
        <v>76</v>
      </c>
      <c r="J317" t="s">
        <v>77</v>
      </c>
      <c r="K317" t="s">
        <v>78</v>
      </c>
      <c r="L317" t="s">
        <v>100</v>
      </c>
      <c r="M317" t="s">
        <v>101</v>
      </c>
      <c r="N317" t="s">
        <v>166</v>
      </c>
      <c r="O317" t="s">
        <v>89</v>
      </c>
      <c r="P317" t="str">
        <f>"4170071571                    "</f>
        <v xml:space="preserve">4170071571                    </v>
      </c>
      <c r="Q317">
        <v>0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  <c r="AJ317">
        <v>0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38.909999999999997</v>
      </c>
      <c r="AR317">
        <v>0</v>
      </c>
      <c r="AS317">
        <v>0</v>
      </c>
      <c r="AT317">
        <v>0</v>
      </c>
      <c r="AU317">
        <v>0</v>
      </c>
      <c r="AV317">
        <v>0</v>
      </c>
      <c r="AW317">
        <v>0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1</v>
      </c>
      <c r="BI317">
        <v>3</v>
      </c>
      <c r="BJ317">
        <v>3.1</v>
      </c>
      <c r="BK317">
        <v>3.5</v>
      </c>
      <c r="BL317">
        <v>127.34</v>
      </c>
      <c r="BM317">
        <v>19.100000000000001</v>
      </c>
      <c r="BN317">
        <v>146.44</v>
      </c>
      <c r="BO317">
        <v>146.44</v>
      </c>
      <c r="BQ317" t="s">
        <v>167</v>
      </c>
      <c r="BR317" t="s">
        <v>82</v>
      </c>
      <c r="BS317" s="3">
        <v>45994</v>
      </c>
      <c r="BT317" s="4">
        <v>0.38819444444444445</v>
      </c>
      <c r="BU317" t="s">
        <v>928</v>
      </c>
      <c r="BV317" t="s">
        <v>84</v>
      </c>
      <c r="BY317">
        <v>15360</v>
      </c>
      <c r="CA317" t="s">
        <v>929</v>
      </c>
      <c r="CC317" t="s">
        <v>101</v>
      </c>
      <c r="CD317">
        <v>4000</v>
      </c>
      <c r="CE317" t="s">
        <v>86</v>
      </c>
      <c r="CF317" s="3">
        <v>45994</v>
      </c>
      <c r="CI317">
        <v>1</v>
      </c>
      <c r="CJ317">
        <v>1</v>
      </c>
      <c r="CK317">
        <v>21</v>
      </c>
      <c r="CL317" t="s">
        <v>87</v>
      </c>
    </row>
    <row r="318" spans="1:90" x14ac:dyDescent="0.3">
      <c r="A318" t="s">
        <v>72</v>
      </c>
      <c r="B318" t="s">
        <v>73</v>
      </c>
      <c r="C318" t="s">
        <v>74</v>
      </c>
      <c r="E318" t="str">
        <f>"080069627138"</f>
        <v>080069627138</v>
      </c>
      <c r="F318" s="3">
        <v>45993</v>
      </c>
      <c r="G318">
        <v>202609</v>
      </c>
      <c r="H318" t="s">
        <v>75</v>
      </c>
      <c r="I318" t="s">
        <v>76</v>
      </c>
      <c r="J318" t="s">
        <v>77</v>
      </c>
      <c r="K318" t="s">
        <v>78</v>
      </c>
      <c r="L318" t="s">
        <v>141</v>
      </c>
      <c r="M318" t="s">
        <v>142</v>
      </c>
      <c r="N318" t="s">
        <v>868</v>
      </c>
      <c r="O318" t="s">
        <v>89</v>
      </c>
      <c r="P318" t="str">
        <f>"4170071495                    "</f>
        <v xml:space="preserve">4170071495                    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0</v>
      </c>
      <c r="X318">
        <v>0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0</v>
      </c>
      <c r="AJ318">
        <v>0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22.24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0</v>
      </c>
      <c r="AX318">
        <v>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1</v>
      </c>
      <c r="BI318">
        <v>1</v>
      </c>
      <c r="BJ318">
        <v>0.2</v>
      </c>
      <c r="BK318">
        <v>1</v>
      </c>
      <c r="BL318">
        <v>72.78</v>
      </c>
      <c r="BM318">
        <v>10.92</v>
      </c>
      <c r="BN318">
        <v>83.7</v>
      </c>
      <c r="BO318">
        <v>83.7</v>
      </c>
      <c r="BQ318" t="s">
        <v>869</v>
      </c>
      <c r="BR318" t="s">
        <v>82</v>
      </c>
      <c r="BS318" s="3">
        <v>45994</v>
      </c>
      <c r="BT318" s="4">
        <v>0.39097222222222222</v>
      </c>
      <c r="BU318" t="s">
        <v>870</v>
      </c>
      <c r="BV318" t="s">
        <v>84</v>
      </c>
      <c r="BY318">
        <v>1200</v>
      </c>
      <c r="CA318" t="s">
        <v>571</v>
      </c>
      <c r="CC318" t="s">
        <v>142</v>
      </c>
      <c r="CD318">
        <v>6001</v>
      </c>
      <c r="CE318" t="s">
        <v>134</v>
      </c>
      <c r="CF318" s="3">
        <v>45994</v>
      </c>
      <c r="CI318">
        <v>1</v>
      </c>
      <c r="CJ318">
        <v>1</v>
      </c>
      <c r="CK318">
        <v>21</v>
      </c>
      <c r="CL318" t="s">
        <v>87</v>
      </c>
    </row>
    <row r="319" spans="1:90" x14ac:dyDescent="0.3">
      <c r="A319" t="s">
        <v>72</v>
      </c>
      <c r="B319" t="s">
        <v>73</v>
      </c>
      <c r="C319" t="s">
        <v>74</v>
      </c>
      <c r="E319" t="str">
        <f>"080069627147"</f>
        <v>080069627147</v>
      </c>
      <c r="F319" s="3">
        <v>45993</v>
      </c>
      <c r="G319">
        <v>202609</v>
      </c>
      <c r="H319" t="s">
        <v>75</v>
      </c>
      <c r="I319" t="s">
        <v>76</v>
      </c>
      <c r="J319" t="s">
        <v>77</v>
      </c>
      <c r="K319" t="s">
        <v>78</v>
      </c>
      <c r="L319" t="s">
        <v>141</v>
      </c>
      <c r="M319" t="s">
        <v>142</v>
      </c>
      <c r="N319" t="s">
        <v>798</v>
      </c>
      <c r="O319" t="s">
        <v>80</v>
      </c>
      <c r="P319" t="str">
        <f>"4170071572                    "</f>
        <v xml:space="preserve">4170071572                    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  <c r="AJ319">
        <v>0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66.11</v>
      </c>
      <c r="AR319">
        <v>0</v>
      </c>
      <c r="AS319">
        <v>0</v>
      </c>
      <c r="AT319">
        <v>0</v>
      </c>
      <c r="AU319">
        <v>0</v>
      </c>
      <c r="AV319">
        <v>0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1</v>
      </c>
      <c r="BI319">
        <v>27.8</v>
      </c>
      <c r="BJ319">
        <v>10.1</v>
      </c>
      <c r="BK319">
        <v>28</v>
      </c>
      <c r="BL319">
        <v>222.47</v>
      </c>
      <c r="BM319">
        <v>33.369999999999997</v>
      </c>
      <c r="BN319">
        <v>255.84</v>
      </c>
      <c r="BO319">
        <v>255.84</v>
      </c>
      <c r="BQ319" t="s">
        <v>799</v>
      </c>
      <c r="BR319" t="s">
        <v>82</v>
      </c>
      <c r="BS319" s="3">
        <v>45995</v>
      </c>
      <c r="BT319" s="4">
        <v>0.39652777777777776</v>
      </c>
      <c r="BU319" t="s">
        <v>848</v>
      </c>
      <c r="BV319" t="s">
        <v>84</v>
      </c>
      <c r="BY319">
        <v>50354.720000000001</v>
      </c>
      <c r="CA319" t="s">
        <v>277</v>
      </c>
      <c r="CC319" t="s">
        <v>142</v>
      </c>
      <c r="CD319">
        <v>6001</v>
      </c>
      <c r="CE319" t="s">
        <v>86</v>
      </c>
      <c r="CF319" s="3">
        <v>45995</v>
      </c>
      <c r="CI319">
        <v>3</v>
      </c>
      <c r="CJ319">
        <v>2</v>
      </c>
      <c r="CK319">
        <v>41</v>
      </c>
      <c r="CL319" t="s">
        <v>87</v>
      </c>
    </row>
    <row r="320" spans="1:90" x14ac:dyDescent="0.3">
      <c r="A320" t="s">
        <v>72</v>
      </c>
      <c r="B320" t="s">
        <v>73</v>
      </c>
      <c r="C320" t="s">
        <v>74</v>
      </c>
      <c r="E320" t="str">
        <f>"080069627148"</f>
        <v>080069627148</v>
      </c>
      <c r="F320" s="3">
        <v>45993</v>
      </c>
      <c r="G320">
        <v>202609</v>
      </c>
      <c r="H320" t="s">
        <v>75</v>
      </c>
      <c r="I320" t="s">
        <v>76</v>
      </c>
      <c r="J320" t="s">
        <v>77</v>
      </c>
      <c r="K320" t="s">
        <v>78</v>
      </c>
      <c r="L320" t="s">
        <v>265</v>
      </c>
      <c r="M320" t="s">
        <v>266</v>
      </c>
      <c r="N320" t="s">
        <v>874</v>
      </c>
      <c r="O320" t="s">
        <v>89</v>
      </c>
      <c r="P320" t="str">
        <f>"4170071578                    "</f>
        <v xml:space="preserve">4170071578                    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0</v>
      </c>
      <c r="AJ320">
        <v>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17.37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0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1</v>
      </c>
      <c r="BI320">
        <v>1</v>
      </c>
      <c r="BJ320">
        <v>0.2</v>
      </c>
      <c r="BK320">
        <v>1</v>
      </c>
      <c r="BL320">
        <v>56.85</v>
      </c>
      <c r="BM320">
        <v>8.5299999999999994</v>
      </c>
      <c r="BN320">
        <v>65.38</v>
      </c>
      <c r="BO320">
        <v>65.38</v>
      </c>
      <c r="BQ320" t="s">
        <v>875</v>
      </c>
      <c r="BR320" t="s">
        <v>82</v>
      </c>
      <c r="BS320" s="3">
        <v>45994</v>
      </c>
      <c r="BT320" s="4">
        <v>0.33819444444444446</v>
      </c>
      <c r="BU320" t="s">
        <v>930</v>
      </c>
      <c r="BV320" t="s">
        <v>84</v>
      </c>
      <c r="BY320">
        <v>1200</v>
      </c>
      <c r="CA320" t="s">
        <v>417</v>
      </c>
      <c r="CC320" t="s">
        <v>266</v>
      </c>
      <c r="CD320">
        <v>1459</v>
      </c>
      <c r="CE320" t="s">
        <v>134</v>
      </c>
      <c r="CF320" s="3">
        <v>45994</v>
      </c>
      <c r="CI320">
        <v>1</v>
      </c>
      <c r="CJ320">
        <v>1</v>
      </c>
      <c r="CK320">
        <v>22</v>
      </c>
      <c r="CL320" t="s">
        <v>87</v>
      </c>
    </row>
    <row r="321" spans="1:90" x14ac:dyDescent="0.3">
      <c r="A321" t="s">
        <v>72</v>
      </c>
      <c r="B321" t="s">
        <v>73</v>
      </c>
      <c r="C321" t="s">
        <v>74</v>
      </c>
      <c r="E321" t="str">
        <f>"R080069578021"</f>
        <v>R080069578021</v>
      </c>
      <c r="F321" s="3">
        <v>45994</v>
      </c>
      <c r="G321">
        <v>202609</v>
      </c>
      <c r="H321" t="s">
        <v>100</v>
      </c>
      <c r="I321" t="s">
        <v>101</v>
      </c>
      <c r="J321" t="s">
        <v>234</v>
      </c>
      <c r="K321" t="s">
        <v>78</v>
      </c>
      <c r="L321" t="s">
        <v>302</v>
      </c>
      <c r="M321" t="s">
        <v>303</v>
      </c>
      <c r="N321" t="s">
        <v>234</v>
      </c>
      <c r="O321" t="s">
        <v>80</v>
      </c>
      <c r="P321" t="str">
        <f>"4170071291                    "</f>
        <v xml:space="preserve">4170071291                    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0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49.36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1</v>
      </c>
      <c r="BI321">
        <v>1</v>
      </c>
      <c r="BJ321">
        <v>2.6</v>
      </c>
      <c r="BK321">
        <v>3</v>
      </c>
      <c r="BL321">
        <v>153.19999999999999</v>
      </c>
      <c r="BM321">
        <v>22.98</v>
      </c>
      <c r="BN321">
        <v>176.18</v>
      </c>
      <c r="BO321">
        <v>176.18</v>
      </c>
      <c r="BQ321" t="s">
        <v>931</v>
      </c>
      <c r="BR321" t="s">
        <v>235</v>
      </c>
      <c r="BS321" s="3">
        <v>45996</v>
      </c>
      <c r="BT321" s="4">
        <v>0.4375</v>
      </c>
      <c r="BU321" t="s">
        <v>932</v>
      </c>
      <c r="BV321" t="s">
        <v>87</v>
      </c>
      <c r="BY321">
        <v>12816</v>
      </c>
      <c r="CC321" t="s">
        <v>303</v>
      </c>
      <c r="CD321" s="5" t="s">
        <v>933</v>
      </c>
      <c r="CE321" t="s">
        <v>233</v>
      </c>
      <c r="CI321">
        <v>1</v>
      </c>
      <c r="CJ321">
        <v>2</v>
      </c>
      <c r="CK321">
        <v>41</v>
      </c>
      <c r="CL321" t="s">
        <v>87</v>
      </c>
    </row>
    <row r="322" spans="1:90" x14ac:dyDescent="0.3">
      <c r="A322" t="s">
        <v>72</v>
      </c>
      <c r="B322" t="s">
        <v>73</v>
      </c>
      <c r="C322" t="s">
        <v>74</v>
      </c>
      <c r="E322" t="str">
        <f>"080011697422"</f>
        <v>080011697422</v>
      </c>
      <c r="F322" s="3">
        <v>45994</v>
      </c>
      <c r="G322">
        <v>202609</v>
      </c>
      <c r="H322" t="s">
        <v>141</v>
      </c>
      <c r="I322" t="s">
        <v>142</v>
      </c>
      <c r="J322" t="s">
        <v>934</v>
      </c>
      <c r="K322" t="s">
        <v>78</v>
      </c>
      <c r="L322" t="s">
        <v>75</v>
      </c>
      <c r="M322" t="s">
        <v>76</v>
      </c>
      <c r="N322" t="s">
        <v>602</v>
      </c>
      <c r="O322" t="s">
        <v>89</v>
      </c>
      <c r="P322" t="str">
        <f>"ZA1001431916                  "</f>
        <v xml:space="preserve">ZA1001431916                  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  <c r="AJ322">
        <v>0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38.28</v>
      </c>
      <c r="AR322">
        <v>0</v>
      </c>
      <c r="AS322">
        <v>0</v>
      </c>
      <c r="AT322">
        <v>0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1</v>
      </c>
      <c r="BI322">
        <v>3</v>
      </c>
      <c r="BJ322">
        <v>2.4</v>
      </c>
      <c r="BK322">
        <v>3</v>
      </c>
      <c r="BL322">
        <v>114.08</v>
      </c>
      <c r="BM322">
        <v>17.11</v>
      </c>
      <c r="BN322">
        <v>131.19</v>
      </c>
      <c r="BO322">
        <v>131.19</v>
      </c>
      <c r="BQ322" t="s">
        <v>603</v>
      </c>
      <c r="BR322" t="s">
        <v>935</v>
      </c>
      <c r="BS322" s="3">
        <v>45995</v>
      </c>
      <c r="BT322" s="4">
        <v>0.43055555555555558</v>
      </c>
      <c r="BU322" t="s">
        <v>605</v>
      </c>
      <c r="BV322" t="s">
        <v>84</v>
      </c>
      <c r="BY322">
        <v>12000</v>
      </c>
      <c r="BZ322" t="s">
        <v>271</v>
      </c>
      <c r="CA322" t="s">
        <v>606</v>
      </c>
      <c r="CC322" t="s">
        <v>76</v>
      </c>
      <c r="CD322">
        <v>1619</v>
      </c>
      <c r="CE322" t="s">
        <v>607</v>
      </c>
      <c r="CF322" s="3">
        <v>45995</v>
      </c>
      <c r="CI322">
        <v>1</v>
      </c>
      <c r="CJ322">
        <v>1</v>
      </c>
      <c r="CK322">
        <v>21</v>
      </c>
      <c r="CL322" t="s">
        <v>87</v>
      </c>
    </row>
    <row r="323" spans="1:90" x14ac:dyDescent="0.3">
      <c r="A323" t="s">
        <v>72</v>
      </c>
      <c r="B323" t="s">
        <v>73</v>
      </c>
      <c r="C323" t="s">
        <v>74</v>
      </c>
      <c r="E323" t="str">
        <f>"080069645878"</f>
        <v>080069645878</v>
      </c>
      <c r="F323" s="3">
        <v>45994</v>
      </c>
      <c r="G323">
        <v>202609</v>
      </c>
      <c r="H323" t="s">
        <v>75</v>
      </c>
      <c r="I323" t="s">
        <v>76</v>
      </c>
      <c r="J323" t="s">
        <v>77</v>
      </c>
      <c r="K323" t="s">
        <v>78</v>
      </c>
      <c r="L323" t="s">
        <v>94</v>
      </c>
      <c r="M323" t="s">
        <v>95</v>
      </c>
      <c r="N323" t="s">
        <v>936</v>
      </c>
      <c r="O323" t="s">
        <v>89</v>
      </c>
      <c r="P323" t="str">
        <f>"4170071619                    "</f>
        <v xml:space="preserve">4170071619                    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0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25.52</v>
      </c>
      <c r="AR323">
        <v>0</v>
      </c>
      <c r="AS323">
        <v>0</v>
      </c>
      <c r="AT323">
        <v>0</v>
      </c>
      <c r="AU323">
        <v>0</v>
      </c>
      <c r="AV323">
        <v>0</v>
      </c>
      <c r="AW323">
        <v>0</v>
      </c>
      <c r="AX323">
        <v>0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1</v>
      </c>
      <c r="BI323">
        <v>1</v>
      </c>
      <c r="BJ323">
        <v>0.2</v>
      </c>
      <c r="BK323">
        <v>1</v>
      </c>
      <c r="BL323">
        <v>76.06</v>
      </c>
      <c r="BM323">
        <v>11.41</v>
      </c>
      <c r="BN323">
        <v>87.47</v>
      </c>
      <c r="BO323">
        <v>87.47</v>
      </c>
      <c r="BQ323" t="s">
        <v>937</v>
      </c>
      <c r="BR323" t="s">
        <v>82</v>
      </c>
      <c r="BS323" s="3">
        <v>45995</v>
      </c>
      <c r="BT323" s="4">
        <v>0.4375</v>
      </c>
      <c r="BU323" t="s">
        <v>938</v>
      </c>
      <c r="BV323" t="s">
        <v>84</v>
      </c>
      <c r="BY323">
        <v>1200</v>
      </c>
      <c r="CA323" t="s">
        <v>939</v>
      </c>
      <c r="CC323" t="s">
        <v>95</v>
      </c>
      <c r="CD323">
        <v>3610</v>
      </c>
      <c r="CE323" t="s">
        <v>134</v>
      </c>
      <c r="CF323" s="3">
        <v>45995</v>
      </c>
      <c r="CI323">
        <v>1</v>
      </c>
      <c r="CJ323">
        <v>1</v>
      </c>
      <c r="CK323">
        <v>21</v>
      </c>
      <c r="CL323" t="s">
        <v>87</v>
      </c>
    </row>
    <row r="324" spans="1:90" x14ac:dyDescent="0.3">
      <c r="A324" t="s">
        <v>72</v>
      </c>
      <c r="B324" t="s">
        <v>73</v>
      </c>
      <c r="C324" t="s">
        <v>74</v>
      </c>
      <c r="E324" t="str">
        <f>"080069645911"</f>
        <v>080069645911</v>
      </c>
      <c r="F324" s="3">
        <v>45994</v>
      </c>
      <c r="G324">
        <v>202609</v>
      </c>
      <c r="H324" t="s">
        <v>75</v>
      </c>
      <c r="I324" t="s">
        <v>76</v>
      </c>
      <c r="J324" t="s">
        <v>77</v>
      </c>
      <c r="K324" t="s">
        <v>78</v>
      </c>
      <c r="L324" t="s">
        <v>272</v>
      </c>
      <c r="M324" t="s">
        <v>273</v>
      </c>
      <c r="N324" t="s">
        <v>940</v>
      </c>
      <c r="O324" t="s">
        <v>89</v>
      </c>
      <c r="P324" t="str">
        <f>"4170071603                    "</f>
        <v xml:space="preserve">4170071603                    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0</v>
      </c>
      <c r="AJ324">
        <v>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25.52</v>
      </c>
      <c r="AR324">
        <v>0</v>
      </c>
      <c r="AS324">
        <v>0</v>
      </c>
      <c r="AT324">
        <v>0</v>
      </c>
      <c r="AU324">
        <v>0</v>
      </c>
      <c r="AV324">
        <v>0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1</v>
      </c>
      <c r="BI324">
        <v>1</v>
      </c>
      <c r="BJ324">
        <v>0.2</v>
      </c>
      <c r="BK324">
        <v>1</v>
      </c>
      <c r="BL324">
        <v>76.06</v>
      </c>
      <c r="BM324">
        <v>11.41</v>
      </c>
      <c r="BN324">
        <v>87.47</v>
      </c>
      <c r="BO324">
        <v>87.47</v>
      </c>
      <c r="BQ324" t="s">
        <v>941</v>
      </c>
      <c r="BR324" t="s">
        <v>82</v>
      </c>
      <c r="BS324" s="3">
        <v>45995</v>
      </c>
      <c r="BT324" s="4">
        <v>0.42708333333333331</v>
      </c>
      <c r="BU324" t="s">
        <v>942</v>
      </c>
      <c r="BV324" t="s">
        <v>84</v>
      </c>
      <c r="BY324">
        <v>1200</v>
      </c>
      <c r="CA324" t="s">
        <v>277</v>
      </c>
      <c r="CC324" t="s">
        <v>273</v>
      </c>
      <c r="CD324">
        <v>6220</v>
      </c>
      <c r="CE324" t="s">
        <v>134</v>
      </c>
      <c r="CF324" s="3">
        <v>45995</v>
      </c>
      <c r="CI324">
        <v>1</v>
      </c>
      <c r="CJ324">
        <v>1</v>
      </c>
      <c r="CK324">
        <v>21</v>
      </c>
      <c r="CL324" t="s">
        <v>87</v>
      </c>
    </row>
    <row r="325" spans="1:90" x14ac:dyDescent="0.3">
      <c r="A325" t="s">
        <v>72</v>
      </c>
      <c r="B325" t="s">
        <v>73</v>
      </c>
      <c r="C325" t="s">
        <v>74</v>
      </c>
      <c r="E325" t="str">
        <f>"080069645989"</f>
        <v>080069645989</v>
      </c>
      <c r="F325" s="3">
        <v>45994</v>
      </c>
      <c r="G325">
        <v>202609</v>
      </c>
      <c r="H325" t="s">
        <v>75</v>
      </c>
      <c r="I325" t="s">
        <v>76</v>
      </c>
      <c r="J325" t="s">
        <v>77</v>
      </c>
      <c r="K325" t="s">
        <v>78</v>
      </c>
      <c r="L325" t="s">
        <v>943</v>
      </c>
      <c r="M325" t="s">
        <v>944</v>
      </c>
      <c r="N325" t="s">
        <v>945</v>
      </c>
      <c r="O325" t="s">
        <v>80</v>
      </c>
      <c r="P325" t="str">
        <f>"4170071409                    "</f>
        <v xml:space="preserve">4170071409                    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48.09</v>
      </c>
      <c r="AR325">
        <v>0</v>
      </c>
      <c r="AS325">
        <v>0</v>
      </c>
      <c r="AT325">
        <v>0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1</v>
      </c>
      <c r="BI325">
        <v>24</v>
      </c>
      <c r="BJ325">
        <v>9.4</v>
      </c>
      <c r="BK325">
        <v>24</v>
      </c>
      <c r="BL325">
        <v>149.41</v>
      </c>
      <c r="BM325">
        <v>22.41</v>
      </c>
      <c r="BN325">
        <v>171.82</v>
      </c>
      <c r="BO325">
        <v>171.82</v>
      </c>
      <c r="BQ325" t="s">
        <v>946</v>
      </c>
      <c r="BR325" t="s">
        <v>82</v>
      </c>
      <c r="BS325" s="3">
        <v>45995</v>
      </c>
      <c r="BT325" s="4">
        <v>0.4236111111111111</v>
      </c>
      <c r="BU325" t="s">
        <v>947</v>
      </c>
      <c r="BV325" t="s">
        <v>84</v>
      </c>
      <c r="BY325">
        <v>46816</v>
      </c>
      <c r="CC325" t="s">
        <v>944</v>
      </c>
      <c r="CD325">
        <v>1682</v>
      </c>
      <c r="CE325" t="s">
        <v>86</v>
      </c>
      <c r="CF325" s="3">
        <v>45996</v>
      </c>
      <c r="CI325">
        <v>1</v>
      </c>
      <c r="CJ325">
        <v>1</v>
      </c>
      <c r="CK325">
        <v>42</v>
      </c>
      <c r="CL325" t="s">
        <v>87</v>
      </c>
    </row>
    <row r="326" spans="1:90" x14ac:dyDescent="0.3">
      <c r="A326" t="s">
        <v>72</v>
      </c>
      <c r="B326" t="s">
        <v>73</v>
      </c>
      <c r="C326" t="s">
        <v>74</v>
      </c>
      <c r="E326" t="str">
        <f>"080069646032"</f>
        <v>080069646032</v>
      </c>
      <c r="F326" s="3">
        <v>45994</v>
      </c>
      <c r="G326">
        <v>202609</v>
      </c>
      <c r="H326" t="s">
        <v>75</v>
      </c>
      <c r="I326" t="s">
        <v>76</v>
      </c>
      <c r="J326" t="s">
        <v>77</v>
      </c>
      <c r="K326" t="s">
        <v>78</v>
      </c>
      <c r="L326" t="s">
        <v>943</v>
      </c>
      <c r="M326" t="s">
        <v>944</v>
      </c>
      <c r="N326" t="s">
        <v>945</v>
      </c>
      <c r="O326" t="s">
        <v>80</v>
      </c>
      <c r="P326" t="str">
        <f>"4170071413                    "</f>
        <v xml:space="preserve">4170071413                    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0</v>
      </c>
      <c r="AJ326">
        <v>0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49.2</v>
      </c>
      <c r="AR326">
        <v>0</v>
      </c>
      <c r="AS326">
        <v>0</v>
      </c>
      <c r="AT326">
        <v>0</v>
      </c>
      <c r="AU326">
        <v>0</v>
      </c>
      <c r="AV326">
        <v>0</v>
      </c>
      <c r="AW326">
        <v>0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1</v>
      </c>
      <c r="BI326">
        <v>25</v>
      </c>
      <c r="BJ326">
        <v>12.3</v>
      </c>
      <c r="BK326">
        <v>25</v>
      </c>
      <c r="BL326">
        <v>152.72</v>
      </c>
      <c r="BM326">
        <v>22.91</v>
      </c>
      <c r="BN326">
        <v>175.63</v>
      </c>
      <c r="BO326">
        <v>175.63</v>
      </c>
      <c r="BQ326" t="s">
        <v>946</v>
      </c>
      <c r="BR326" t="s">
        <v>82</v>
      </c>
      <c r="BS326" s="3">
        <v>45995</v>
      </c>
      <c r="BT326" s="4">
        <v>0.4236111111111111</v>
      </c>
      <c r="BU326" t="s">
        <v>947</v>
      </c>
      <c r="BV326" t="s">
        <v>84</v>
      </c>
      <c r="BY326">
        <v>61712</v>
      </c>
      <c r="CC326" t="s">
        <v>944</v>
      </c>
      <c r="CD326">
        <v>1682</v>
      </c>
      <c r="CE326" t="s">
        <v>86</v>
      </c>
      <c r="CF326" s="3">
        <v>45996</v>
      </c>
      <c r="CI326">
        <v>1</v>
      </c>
      <c r="CJ326">
        <v>1</v>
      </c>
      <c r="CK326">
        <v>42</v>
      </c>
      <c r="CL326" t="s">
        <v>87</v>
      </c>
    </row>
    <row r="327" spans="1:90" x14ac:dyDescent="0.3">
      <c r="A327" t="s">
        <v>72</v>
      </c>
      <c r="B327" t="s">
        <v>73</v>
      </c>
      <c r="C327" t="s">
        <v>74</v>
      </c>
      <c r="E327" t="str">
        <f>"080069646098"</f>
        <v>080069646098</v>
      </c>
      <c r="F327" s="3">
        <v>45994</v>
      </c>
      <c r="G327">
        <v>202609</v>
      </c>
      <c r="H327" t="s">
        <v>75</v>
      </c>
      <c r="I327" t="s">
        <v>76</v>
      </c>
      <c r="J327" t="s">
        <v>77</v>
      </c>
      <c r="K327" t="s">
        <v>78</v>
      </c>
      <c r="L327" t="s">
        <v>943</v>
      </c>
      <c r="M327" t="s">
        <v>944</v>
      </c>
      <c r="N327" t="s">
        <v>945</v>
      </c>
      <c r="O327" t="s">
        <v>340</v>
      </c>
      <c r="P327" t="str">
        <f>"4170071390                    "</f>
        <v xml:space="preserve">4170071390                    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19.940000000000001</v>
      </c>
      <c r="AR327">
        <v>0</v>
      </c>
      <c r="AS327">
        <v>0</v>
      </c>
      <c r="AT327">
        <v>0</v>
      </c>
      <c r="AU327">
        <v>0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1</v>
      </c>
      <c r="BI327">
        <v>2</v>
      </c>
      <c r="BJ327">
        <v>3.4</v>
      </c>
      <c r="BK327">
        <v>4</v>
      </c>
      <c r="BL327">
        <v>59.43</v>
      </c>
      <c r="BM327">
        <v>8.91</v>
      </c>
      <c r="BN327">
        <v>68.34</v>
      </c>
      <c r="BO327">
        <v>68.34</v>
      </c>
      <c r="BQ327" t="s">
        <v>946</v>
      </c>
      <c r="BR327" t="s">
        <v>82</v>
      </c>
      <c r="BS327" s="3">
        <v>45995</v>
      </c>
      <c r="BT327" s="4">
        <v>0.4236111111111111</v>
      </c>
      <c r="BU327" t="s">
        <v>947</v>
      </c>
      <c r="BV327" t="s">
        <v>84</v>
      </c>
      <c r="BY327">
        <v>16965</v>
      </c>
      <c r="CC327" t="s">
        <v>944</v>
      </c>
      <c r="CD327">
        <v>1682</v>
      </c>
      <c r="CE327" t="s">
        <v>86</v>
      </c>
      <c r="CF327" s="3">
        <v>45996</v>
      </c>
      <c r="CI327">
        <v>1</v>
      </c>
      <c r="CJ327">
        <v>1</v>
      </c>
      <c r="CK327">
        <v>32</v>
      </c>
      <c r="CL327" t="s">
        <v>87</v>
      </c>
    </row>
    <row r="328" spans="1:90" x14ac:dyDescent="0.3">
      <c r="A328" t="s">
        <v>72</v>
      </c>
      <c r="B328" t="s">
        <v>73</v>
      </c>
      <c r="C328" t="s">
        <v>74</v>
      </c>
      <c r="E328" t="str">
        <f>"080069646154"</f>
        <v>080069646154</v>
      </c>
      <c r="F328" s="3">
        <v>45994</v>
      </c>
      <c r="G328">
        <v>202609</v>
      </c>
      <c r="H328" t="s">
        <v>75</v>
      </c>
      <c r="I328" t="s">
        <v>76</v>
      </c>
      <c r="J328" t="s">
        <v>77</v>
      </c>
      <c r="K328" t="s">
        <v>78</v>
      </c>
      <c r="L328" t="s">
        <v>515</v>
      </c>
      <c r="M328" t="s">
        <v>516</v>
      </c>
      <c r="N328" t="s">
        <v>517</v>
      </c>
      <c r="O328" t="s">
        <v>89</v>
      </c>
      <c r="P328" t="str">
        <f>"4170071587                    "</f>
        <v xml:space="preserve">4170071587                    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  <c r="AJ328"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82.95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1</v>
      </c>
      <c r="BI328">
        <v>2</v>
      </c>
      <c r="BJ328">
        <v>3.1</v>
      </c>
      <c r="BK328">
        <v>3.5</v>
      </c>
      <c r="BL328">
        <v>247.21</v>
      </c>
      <c r="BM328">
        <v>37.08</v>
      </c>
      <c r="BN328">
        <v>284.29000000000002</v>
      </c>
      <c r="BO328">
        <v>284.29000000000002</v>
      </c>
      <c r="BQ328" t="s">
        <v>518</v>
      </c>
      <c r="BR328" t="s">
        <v>82</v>
      </c>
      <c r="BS328" s="3">
        <v>45996</v>
      </c>
      <c r="BT328" s="4">
        <v>0.75</v>
      </c>
      <c r="BU328" t="s">
        <v>948</v>
      </c>
      <c r="BV328" t="s">
        <v>84</v>
      </c>
      <c r="BY328">
        <v>15360</v>
      </c>
      <c r="CA328" t="s">
        <v>949</v>
      </c>
      <c r="CC328" t="s">
        <v>516</v>
      </c>
      <c r="CD328">
        <v>6300</v>
      </c>
      <c r="CE328" t="s">
        <v>950</v>
      </c>
      <c r="CF328" s="3">
        <v>45999</v>
      </c>
      <c r="CI328">
        <v>2</v>
      </c>
      <c r="CJ328">
        <v>2</v>
      </c>
      <c r="CK328">
        <v>23</v>
      </c>
      <c r="CL328" t="s">
        <v>87</v>
      </c>
    </row>
    <row r="329" spans="1:90" x14ac:dyDescent="0.3">
      <c r="A329" t="s">
        <v>72</v>
      </c>
      <c r="B329" t="s">
        <v>73</v>
      </c>
      <c r="C329" t="s">
        <v>74</v>
      </c>
      <c r="E329" t="str">
        <f>"080069646181"</f>
        <v>080069646181</v>
      </c>
      <c r="F329" s="3">
        <v>45994</v>
      </c>
      <c r="G329">
        <v>202609</v>
      </c>
      <c r="H329" t="s">
        <v>75</v>
      </c>
      <c r="I329" t="s">
        <v>76</v>
      </c>
      <c r="J329" t="s">
        <v>77</v>
      </c>
      <c r="K329" t="s">
        <v>78</v>
      </c>
      <c r="L329" t="s">
        <v>141</v>
      </c>
      <c r="M329" t="s">
        <v>142</v>
      </c>
      <c r="N329" t="s">
        <v>637</v>
      </c>
      <c r="O329" t="s">
        <v>89</v>
      </c>
      <c r="P329" t="str">
        <f>"4170071592                    "</f>
        <v xml:space="preserve">4170071592                    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25.52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1</v>
      </c>
      <c r="BI329">
        <v>1</v>
      </c>
      <c r="BJ329">
        <v>0.9</v>
      </c>
      <c r="BK329">
        <v>1</v>
      </c>
      <c r="BL329">
        <v>76.06</v>
      </c>
      <c r="BM329">
        <v>11.41</v>
      </c>
      <c r="BN329">
        <v>87.47</v>
      </c>
      <c r="BO329">
        <v>87.47</v>
      </c>
      <c r="BQ329" t="s">
        <v>638</v>
      </c>
      <c r="BR329" t="s">
        <v>82</v>
      </c>
      <c r="BS329" s="3">
        <v>45995</v>
      </c>
      <c r="BT329" s="4">
        <v>0.38055555555555554</v>
      </c>
      <c r="BU329" t="s">
        <v>223</v>
      </c>
      <c r="BV329" t="s">
        <v>84</v>
      </c>
      <c r="BY329">
        <v>4275</v>
      </c>
      <c r="BZ329" t="s">
        <v>271</v>
      </c>
      <c r="CA329" t="s">
        <v>224</v>
      </c>
      <c r="CC329" t="s">
        <v>142</v>
      </c>
      <c r="CD329">
        <v>6001</v>
      </c>
      <c r="CE329" t="s">
        <v>147</v>
      </c>
      <c r="CF329" s="3">
        <v>45995</v>
      </c>
      <c r="CI329">
        <v>1</v>
      </c>
      <c r="CJ329">
        <v>1</v>
      </c>
      <c r="CK329">
        <v>21</v>
      </c>
      <c r="CL329" t="s">
        <v>87</v>
      </c>
    </row>
    <row r="330" spans="1:90" x14ac:dyDescent="0.3">
      <c r="A330" t="s">
        <v>72</v>
      </c>
      <c r="B330" t="s">
        <v>73</v>
      </c>
      <c r="C330" t="s">
        <v>74</v>
      </c>
      <c r="E330" t="str">
        <f>"080069646297"</f>
        <v>080069646297</v>
      </c>
      <c r="F330" s="3">
        <v>45994</v>
      </c>
      <c r="G330">
        <v>202609</v>
      </c>
      <c r="H330" t="s">
        <v>75</v>
      </c>
      <c r="I330" t="s">
        <v>76</v>
      </c>
      <c r="J330" t="s">
        <v>77</v>
      </c>
      <c r="K330" t="s">
        <v>78</v>
      </c>
      <c r="L330" t="s">
        <v>141</v>
      </c>
      <c r="M330" t="s">
        <v>142</v>
      </c>
      <c r="N330" t="s">
        <v>951</v>
      </c>
      <c r="O330" t="s">
        <v>89</v>
      </c>
      <c r="P330" t="str">
        <f>"4170071604                    "</f>
        <v xml:space="preserve">4170071604                    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38.28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1</v>
      </c>
      <c r="BI330">
        <v>3</v>
      </c>
      <c r="BJ330">
        <v>0.7</v>
      </c>
      <c r="BK330">
        <v>3</v>
      </c>
      <c r="BL330">
        <v>114.08</v>
      </c>
      <c r="BM330">
        <v>17.11</v>
      </c>
      <c r="BN330">
        <v>131.19</v>
      </c>
      <c r="BO330">
        <v>131.19</v>
      </c>
      <c r="BQ330" t="s">
        <v>952</v>
      </c>
      <c r="BR330" t="s">
        <v>82</v>
      </c>
      <c r="BS330" s="3">
        <v>45995</v>
      </c>
      <c r="BT330" s="4">
        <v>0.37916666666666665</v>
      </c>
      <c r="BU330" t="s">
        <v>953</v>
      </c>
      <c r="BV330" t="s">
        <v>84</v>
      </c>
      <c r="BY330">
        <v>3306</v>
      </c>
      <c r="CA330" t="s">
        <v>327</v>
      </c>
      <c r="CC330" t="s">
        <v>142</v>
      </c>
      <c r="CD330">
        <v>6000</v>
      </c>
      <c r="CE330" t="s">
        <v>86</v>
      </c>
      <c r="CF330" s="3">
        <v>45995</v>
      </c>
      <c r="CI330">
        <v>1</v>
      </c>
      <c r="CJ330">
        <v>1</v>
      </c>
      <c r="CK330">
        <v>21</v>
      </c>
      <c r="CL330" t="s">
        <v>87</v>
      </c>
    </row>
    <row r="331" spans="1:90" x14ac:dyDescent="0.3">
      <c r="A331" t="s">
        <v>72</v>
      </c>
      <c r="B331" t="s">
        <v>73</v>
      </c>
      <c r="C331" t="s">
        <v>74</v>
      </c>
      <c r="E331" t="str">
        <f>"080069646399"</f>
        <v>080069646399</v>
      </c>
      <c r="F331" s="3">
        <v>45994</v>
      </c>
      <c r="G331">
        <v>202609</v>
      </c>
      <c r="H331" t="s">
        <v>75</v>
      </c>
      <c r="I331" t="s">
        <v>76</v>
      </c>
      <c r="J331" t="s">
        <v>77</v>
      </c>
      <c r="K331" t="s">
        <v>78</v>
      </c>
      <c r="L331" t="s">
        <v>156</v>
      </c>
      <c r="M331" t="s">
        <v>157</v>
      </c>
      <c r="N331" t="s">
        <v>158</v>
      </c>
      <c r="O331" t="s">
        <v>89</v>
      </c>
      <c r="P331" t="str">
        <f>"4170071589                    "</f>
        <v xml:space="preserve">4170071589                    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229.62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3</v>
      </c>
      <c r="BI331">
        <v>18</v>
      </c>
      <c r="BJ331">
        <v>10.1</v>
      </c>
      <c r="BK331">
        <v>18</v>
      </c>
      <c r="BL331">
        <v>684.32</v>
      </c>
      <c r="BM331">
        <v>102.65</v>
      </c>
      <c r="BN331">
        <v>786.97</v>
      </c>
      <c r="BO331">
        <v>786.97</v>
      </c>
      <c r="BQ331" t="s">
        <v>159</v>
      </c>
      <c r="BR331" t="s">
        <v>82</v>
      </c>
      <c r="BS331" s="3">
        <v>45995</v>
      </c>
      <c r="BT331" s="4">
        <v>0.48402777777777778</v>
      </c>
      <c r="BU331" t="s">
        <v>160</v>
      </c>
      <c r="BV331" t="s">
        <v>87</v>
      </c>
      <c r="BW331" t="s">
        <v>153</v>
      </c>
      <c r="BX331" t="s">
        <v>161</v>
      </c>
      <c r="BY331">
        <v>50252</v>
      </c>
      <c r="CA331" t="s">
        <v>162</v>
      </c>
      <c r="CC331" t="s">
        <v>157</v>
      </c>
      <c r="CD331">
        <v>7530</v>
      </c>
      <c r="CE331" t="s">
        <v>134</v>
      </c>
      <c r="CF331" s="3">
        <v>45997</v>
      </c>
      <c r="CI331">
        <v>1</v>
      </c>
      <c r="CJ331">
        <v>1</v>
      </c>
      <c r="CK331">
        <v>21</v>
      </c>
      <c r="CL331" t="s">
        <v>87</v>
      </c>
    </row>
    <row r="332" spans="1:90" x14ac:dyDescent="0.3">
      <c r="A332" t="s">
        <v>72</v>
      </c>
      <c r="B332" t="s">
        <v>73</v>
      </c>
      <c r="C332" t="s">
        <v>74</v>
      </c>
      <c r="E332" t="str">
        <f>"080069646694"</f>
        <v>080069646694</v>
      </c>
      <c r="F332" s="3">
        <v>45994</v>
      </c>
      <c r="G332">
        <v>202609</v>
      </c>
      <c r="H332" t="s">
        <v>75</v>
      </c>
      <c r="I332" t="s">
        <v>76</v>
      </c>
      <c r="J332" t="s">
        <v>77</v>
      </c>
      <c r="K332" t="s">
        <v>78</v>
      </c>
      <c r="L332" t="s">
        <v>943</v>
      </c>
      <c r="M332" t="s">
        <v>944</v>
      </c>
      <c r="N332" t="s">
        <v>945</v>
      </c>
      <c r="O332" t="s">
        <v>80</v>
      </c>
      <c r="P332" t="str">
        <f>"4170070655                    "</f>
        <v xml:space="preserve">4170070655                    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0</v>
      </c>
      <c r="AJ332">
        <v>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81.42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2</v>
      </c>
      <c r="BI332">
        <v>54</v>
      </c>
      <c r="BJ332">
        <v>29.6</v>
      </c>
      <c r="BK332">
        <v>54</v>
      </c>
      <c r="BL332">
        <v>248.74</v>
      </c>
      <c r="BM332">
        <v>37.31</v>
      </c>
      <c r="BN332">
        <v>286.05</v>
      </c>
      <c r="BO332">
        <v>286.05</v>
      </c>
      <c r="BQ332" t="s">
        <v>946</v>
      </c>
      <c r="BR332" t="s">
        <v>82</v>
      </c>
      <c r="BS332" s="3">
        <v>45996</v>
      </c>
      <c r="BT332" s="4">
        <v>0.44791666666666669</v>
      </c>
      <c r="BU332" t="s">
        <v>954</v>
      </c>
      <c r="BV332" t="s">
        <v>87</v>
      </c>
      <c r="BW332" t="s">
        <v>174</v>
      </c>
      <c r="BX332" t="s">
        <v>955</v>
      </c>
      <c r="BY332">
        <v>73997</v>
      </c>
      <c r="CC332" t="s">
        <v>944</v>
      </c>
      <c r="CD332">
        <v>1682</v>
      </c>
      <c r="CE332" t="s">
        <v>956</v>
      </c>
      <c r="CF332" s="3">
        <v>45997</v>
      </c>
      <c r="CI332">
        <v>1</v>
      </c>
      <c r="CJ332">
        <v>2</v>
      </c>
      <c r="CK332">
        <v>42</v>
      </c>
      <c r="CL332" t="s">
        <v>87</v>
      </c>
    </row>
    <row r="333" spans="1:90" x14ac:dyDescent="0.3">
      <c r="A333" t="s">
        <v>72</v>
      </c>
      <c r="B333" t="s">
        <v>73</v>
      </c>
      <c r="C333" t="s">
        <v>74</v>
      </c>
      <c r="E333" t="str">
        <f>"080069646804"</f>
        <v>080069646804</v>
      </c>
      <c r="F333" s="3">
        <v>45994</v>
      </c>
      <c r="G333">
        <v>202609</v>
      </c>
      <c r="H333" t="s">
        <v>75</v>
      </c>
      <c r="I333" t="s">
        <v>76</v>
      </c>
      <c r="J333" t="s">
        <v>77</v>
      </c>
      <c r="K333" t="s">
        <v>78</v>
      </c>
      <c r="L333" t="s">
        <v>535</v>
      </c>
      <c r="M333" t="s">
        <v>535</v>
      </c>
      <c r="N333" t="s">
        <v>924</v>
      </c>
      <c r="O333" t="s">
        <v>89</v>
      </c>
      <c r="P333" t="str">
        <f>"4170071536                    "</f>
        <v xml:space="preserve">4170071536                    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0</v>
      </c>
      <c r="AJ333">
        <v>0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82.95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0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1</v>
      </c>
      <c r="BI333">
        <v>2</v>
      </c>
      <c r="BJ333">
        <v>3.4</v>
      </c>
      <c r="BK333">
        <v>3.5</v>
      </c>
      <c r="BL333">
        <v>247.21</v>
      </c>
      <c r="BM333">
        <v>37.08</v>
      </c>
      <c r="BN333">
        <v>284.29000000000002</v>
      </c>
      <c r="BO333">
        <v>284.29000000000002</v>
      </c>
      <c r="BQ333" t="s">
        <v>925</v>
      </c>
      <c r="BR333" t="s">
        <v>82</v>
      </c>
      <c r="BS333" s="3">
        <v>45995</v>
      </c>
      <c r="BT333" s="4">
        <v>0.79236111111111107</v>
      </c>
      <c r="BU333" t="s">
        <v>926</v>
      </c>
      <c r="BV333" t="s">
        <v>87</v>
      </c>
      <c r="BW333" t="s">
        <v>153</v>
      </c>
      <c r="BX333" t="s">
        <v>345</v>
      </c>
      <c r="BY333">
        <v>16965</v>
      </c>
      <c r="CA333" t="s">
        <v>539</v>
      </c>
      <c r="CC333" t="s">
        <v>535</v>
      </c>
      <c r="CD333">
        <v>7654</v>
      </c>
      <c r="CE333" t="s">
        <v>86</v>
      </c>
      <c r="CF333" s="3">
        <v>45996</v>
      </c>
      <c r="CI333">
        <v>1</v>
      </c>
      <c r="CJ333">
        <v>1</v>
      </c>
      <c r="CK333">
        <v>23</v>
      </c>
      <c r="CL333" t="s">
        <v>87</v>
      </c>
    </row>
    <row r="334" spans="1:90" x14ac:dyDescent="0.3">
      <c r="A334" t="s">
        <v>72</v>
      </c>
      <c r="B334" t="s">
        <v>73</v>
      </c>
      <c r="C334" t="s">
        <v>74</v>
      </c>
      <c r="E334" t="str">
        <f>"080069646837"</f>
        <v>080069646837</v>
      </c>
      <c r="F334" s="3">
        <v>45994</v>
      </c>
      <c r="G334">
        <v>202609</v>
      </c>
      <c r="H334" t="s">
        <v>75</v>
      </c>
      <c r="I334" t="s">
        <v>76</v>
      </c>
      <c r="J334" t="s">
        <v>77</v>
      </c>
      <c r="K334" t="s">
        <v>78</v>
      </c>
      <c r="L334" t="s">
        <v>943</v>
      </c>
      <c r="M334" t="s">
        <v>944</v>
      </c>
      <c r="N334" t="s">
        <v>945</v>
      </c>
      <c r="O334" t="s">
        <v>340</v>
      </c>
      <c r="P334" t="str">
        <f>"4170071389                    "</f>
        <v xml:space="preserve">4170071389                    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0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19.940000000000001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0</v>
      </c>
      <c r="AX334">
        <v>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1</v>
      </c>
      <c r="BI334">
        <v>3</v>
      </c>
      <c r="BJ334">
        <v>3.4</v>
      </c>
      <c r="BK334">
        <v>4</v>
      </c>
      <c r="BL334">
        <v>59.43</v>
      </c>
      <c r="BM334">
        <v>8.91</v>
      </c>
      <c r="BN334">
        <v>68.34</v>
      </c>
      <c r="BO334">
        <v>68.34</v>
      </c>
      <c r="BQ334" t="s">
        <v>946</v>
      </c>
      <c r="BR334" t="s">
        <v>82</v>
      </c>
      <c r="BS334" s="3">
        <v>45995</v>
      </c>
      <c r="BT334" s="4">
        <v>0.4236111111111111</v>
      </c>
      <c r="BU334" t="s">
        <v>947</v>
      </c>
      <c r="BV334" t="s">
        <v>84</v>
      </c>
      <c r="BY334">
        <v>16965</v>
      </c>
      <c r="CC334" t="s">
        <v>944</v>
      </c>
      <c r="CD334">
        <v>1682</v>
      </c>
      <c r="CE334" t="s">
        <v>86</v>
      </c>
      <c r="CF334" s="3">
        <v>45996</v>
      </c>
      <c r="CI334">
        <v>1</v>
      </c>
      <c r="CJ334">
        <v>1</v>
      </c>
      <c r="CK334">
        <v>32</v>
      </c>
      <c r="CL334" t="s">
        <v>87</v>
      </c>
    </row>
    <row r="335" spans="1:90" x14ac:dyDescent="0.3">
      <c r="A335" t="s">
        <v>72</v>
      </c>
      <c r="B335" t="s">
        <v>73</v>
      </c>
      <c r="C335" t="s">
        <v>74</v>
      </c>
      <c r="E335" t="str">
        <f>"080069647066"</f>
        <v>080069647066</v>
      </c>
      <c r="F335" s="3">
        <v>45994</v>
      </c>
      <c r="G335">
        <v>202609</v>
      </c>
      <c r="H335" t="s">
        <v>75</v>
      </c>
      <c r="I335" t="s">
        <v>76</v>
      </c>
      <c r="J335" t="s">
        <v>77</v>
      </c>
      <c r="K335" t="s">
        <v>78</v>
      </c>
      <c r="L335" t="s">
        <v>943</v>
      </c>
      <c r="M335" t="s">
        <v>944</v>
      </c>
      <c r="N335" t="s">
        <v>945</v>
      </c>
      <c r="O335" t="s">
        <v>89</v>
      </c>
      <c r="P335" t="str">
        <f>"4170071623                    "</f>
        <v xml:space="preserve">4170071623                    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  <c r="AJ335">
        <v>0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19.940000000000001</v>
      </c>
      <c r="AR335">
        <v>0</v>
      </c>
      <c r="AS335">
        <v>0</v>
      </c>
      <c r="AT335">
        <v>0</v>
      </c>
      <c r="AU335">
        <v>0</v>
      </c>
      <c r="AV335">
        <v>0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1</v>
      </c>
      <c r="BI335">
        <v>0.8</v>
      </c>
      <c r="BJ335">
        <v>1.3</v>
      </c>
      <c r="BK335">
        <v>2</v>
      </c>
      <c r="BL335">
        <v>59.42</v>
      </c>
      <c r="BM335">
        <v>8.91</v>
      </c>
      <c r="BN335">
        <v>68.33</v>
      </c>
      <c r="BO335">
        <v>68.33</v>
      </c>
      <c r="BQ335" t="s">
        <v>946</v>
      </c>
      <c r="BR335" t="s">
        <v>82</v>
      </c>
      <c r="BS335" s="3">
        <v>45995</v>
      </c>
      <c r="BT335" s="4">
        <v>0.4236111111111111</v>
      </c>
      <c r="BU335" t="s">
        <v>947</v>
      </c>
      <c r="BV335" t="s">
        <v>84</v>
      </c>
      <c r="BY335">
        <v>6549.4</v>
      </c>
      <c r="CC335" t="s">
        <v>944</v>
      </c>
      <c r="CD335">
        <v>1682</v>
      </c>
      <c r="CE335" t="s">
        <v>134</v>
      </c>
      <c r="CF335" s="3">
        <v>45996</v>
      </c>
      <c r="CI335">
        <v>1</v>
      </c>
      <c r="CJ335">
        <v>1</v>
      </c>
      <c r="CK335">
        <v>22</v>
      </c>
      <c r="CL335" t="s">
        <v>87</v>
      </c>
    </row>
    <row r="336" spans="1:90" x14ac:dyDescent="0.3">
      <c r="A336" t="s">
        <v>72</v>
      </c>
      <c r="B336" t="s">
        <v>73</v>
      </c>
      <c r="C336" t="s">
        <v>74</v>
      </c>
      <c r="E336" t="str">
        <f>"080069647108"</f>
        <v>080069647108</v>
      </c>
      <c r="F336" s="3">
        <v>45994</v>
      </c>
      <c r="G336">
        <v>202609</v>
      </c>
      <c r="H336" t="s">
        <v>75</v>
      </c>
      <c r="I336" t="s">
        <v>76</v>
      </c>
      <c r="J336" t="s">
        <v>77</v>
      </c>
      <c r="K336" t="s">
        <v>78</v>
      </c>
      <c r="L336" t="s">
        <v>302</v>
      </c>
      <c r="M336" t="s">
        <v>303</v>
      </c>
      <c r="N336" t="s">
        <v>957</v>
      </c>
      <c r="O336" t="s">
        <v>89</v>
      </c>
      <c r="P336" t="str">
        <f>"4170071629                    "</f>
        <v xml:space="preserve">4170071629                    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G336">
        <v>0</v>
      </c>
      <c r="AH336">
        <v>0</v>
      </c>
      <c r="AI336">
        <v>0</v>
      </c>
      <c r="AJ336">
        <v>0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25.52</v>
      </c>
      <c r="AR336">
        <v>0</v>
      </c>
      <c r="AS336">
        <v>0</v>
      </c>
      <c r="AT336">
        <v>0</v>
      </c>
      <c r="AU336">
        <v>0</v>
      </c>
      <c r="AV336">
        <v>0</v>
      </c>
      <c r="AW336">
        <v>0</v>
      </c>
      <c r="AX336">
        <v>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1</v>
      </c>
      <c r="BI336">
        <v>0.2</v>
      </c>
      <c r="BJ336">
        <v>1.8</v>
      </c>
      <c r="BK336">
        <v>2</v>
      </c>
      <c r="BL336">
        <v>76.06</v>
      </c>
      <c r="BM336">
        <v>11.41</v>
      </c>
      <c r="BN336">
        <v>87.47</v>
      </c>
      <c r="BO336">
        <v>87.47</v>
      </c>
      <c r="BQ336" t="s">
        <v>958</v>
      </c>
      <c r="BR336" t="s">
        <v>82</v>
      </c>
      <c r="BS336" s="3">
        <v>45995</v>
      </c>
      <c r="BT336" s="4">
        <v>0.43611111111111112</v>
      </c>
      <c r="BU336" t="s">
        <v>959</v>
      </c>
      <c r="BV336" t="s">
        <v>84</v>
      </c>
      <c r="BY336">
        <v>9076.06</v>
      </c>
      <c r="CA336">
        <v>8303236124087</v>
      </c>
      <c r="CC336" t="s">
        <v>303</v>
      </c>
      <c r="CD336" s="5" t="s">
        <v>307</v>
      </c>
      <c r="CE336" t="s">
        <v>134</v>
      </c>
      <c r="CF336" s="3">
        <v>45995</v>
      </c>
      <c r="CI336">
        <v>1</v>
      </c>
      <c r="CJ336">
        <v>1</v>
      </c>
      <c r="CK336">
        <v>21</v>
      </c>
      <c r="CL336" t="s">
        <v>87</v>
      </c>
    </row>
    <row r="337" spans="1:90" x14ac:dyDescent="0.3">
      <c r="A337" t="s">
        <v>72</v>
      </c>
      <c r="B337" t="s">
        <v>73</v>
      </c>
      <c r="C337" t="s">
        <v>74</v>
      </c>
      <c r="E337" t="str">
        <f>"080069647106"</f>
        <v>080069647106</v>
      </c>
      <c r="F337" s="3">
        <v>45994</v>
      </c>
      <c r="G337">
        <v>202609</v>
      </c>
      <c r="H337" t="s">
        <v>75</v>
      </c>
      <c r="I337" t="s">
        <v>76</v>
      </c>
      <c r="J337" t="s">
        <v>77</v>
      </c>
      <c r="K337" t="s">
        <v>78</v>
      </c>
      <c r="L337" t="s">
        <v>156</v>
      </c>
      <c r="M337" t="s">
        <v>157</v>
      </c>
      <c r="N337" t="s">
        <v>960</v>
      </c>
      <c r="O337" t="s">
        <v>89</v>
      </c>
      <c r="P337" t="str">
        <f>"4170071541                    "</f>
        <v xml:space="preserve">4170071541                    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0</v>
      </c>
      <c r="AJ33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242.38</v>
      </c>
      <c r="AR337">
        <v>0</v>
      </c>
      <c r="AS337">
        <v>0</v>
      </c>
      <c r="AT337">
        <v>0</v>
      </c>
      <c r="AU337">
        <v>0</v>
      </c>
      <c r="AV337">
        <v>0</v>
      </c>
      <c r="AW337">
        <v>0</v>
      </c>
      <c r="AX337">
        <v>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2</v>
      </c>
      <c r="BI337">
        <v>19</v>
      </c>
      <c r="BJ337">
        <v>6.8</v>
      </c>
      <c r="BK337">
        <v>19</v>
      </c>
      <c r="BL337">
        <v>722.34</v>
      </c>
      <c r="BM337">
        <v>108.35</v>
      </c>
      <c r="BN337">
        <v>830.69</v>
      </c>
      <c r="BO337">
        <v>830.69</v>
      </c>
      <c r="BQ337" t="s">
        <v>961</v>
      </c>
      <c r="BR337" t="s">
        <v>82</v>
      </c>
      <c r="BS337" s="3">
        <v>45995</v>
      </c>
      <c r="BT337" s="4">
        <v>0.38680555555555557</v>
      </c>
      <c r="BU337" t="s">
        <v>962</v>
      </c>
      <c r="BV337" t="s">
        <v>84</v>
      </c>
      <c r="BY337">
        <v>33930</v>
      </c>
      <c r="CA337" t="s">
        <v>346</v>
      </c>
      <c r="CC337" t="s">
        <v>157</v>
      </c>
      <c r="CD337">
        <v>7530</v>
      </c>
      <c r="CE337" t="s">
        <v>86</v>
      </c>
      <c r="CF337" s="3">
        <v>45996</v>
      </c>
      <c r="CI337">
        <v>1</v>
      </c>
      <c r="CJ337">
        <v>1</v>
      </c>
      <c r="CK337">
        <v>21</v>
      </c>
      <c r="CL337" t="s">
        <v>87</v>
      </c>
    </row>
    <row r="338" spans="1:90" x14ac:dyDescent="0.3">
      <c r="A338" t="s">
        <v>72</v>
      </c>
      <c r="B338" t="s">
        <v>73</v>
      </c>
      <c r="C338" t="s">
        <v>74</v>
      </c>
      <c r="E338" t="str">
        <f>"080069647141"</f>
        <v>080069647141</v>
      </c>
      <c r="F338" s="3">
        <v>45994</v>
      </c>
      <c r="G338">
        <v>202609</v>
      </c>
      <c r="H338" t="s">
        <v>75</v>
      </c>
      <c r="I338" t="s">
        <v>76</v>
      </c>
      <c r="J338" t="s">
        <v>77</v>
      </c>
      <c r="K338" t="s">
        <v>78</v>
      </c>
      <c r="L338" t="s">
        <v>75</v>
      </c>
      <c r="M338" t="s">
        <v>76</v>
      </c>
      <c r="N338" t="s">
        <v>494</v>
      </c>
      <c r="O338" t="s">
        <v>89</v>
      </c>
      <c r="P338" t="str">
        <f>"4170071593                    "</f>
        <v xml:space="preserve">4170071593                    </v>
      </c>
      <c r="Q338">
        <v>0</v>
      </c>
      <c r="R338">
        <v>0</v>
      </c>
      <c r="S338">
        <v>0</v>
      </c>
      <c r="T338">
        <v>0</v>
      </c>
      <c r="U338">
        <v>0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0</v>
      </c>
      <c r="AJ338">
        <v>0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19.940000000000001</v>
      </c>
      <c r="AR338">
        <v>0</v>
      </c>
      <c r="AS338">
        <v>0</v>
      </c>
      <c r="AT338">
        <v>0</v>
      </c>
      <c r="AU338">
        <v>0</v>
      </c>
      <c r="AV338">
        <v>0</v>
      </c>
      <c r="AW338">
        <v>0</v>
      </c>
      <c r="AX338">
        <v>0</v>
      </c>
      <c r="AY338">
        <v>0</v>
      </c>
      <c r="AZ338">
        <v>0</v>
      </c>
      <c r="BA338">
        <v>0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1</v>
      </c>
      <c r="BI338">
        <v>0.7</v>
      </c>
      <c r="BJ338">
        <v>0.9</v>
      </c>
      <c r="BK338">
        <v>1</v>
      </c>
      <c r="BL338">
        <v>59.42</v>
      </c>
      <c r="BM338">
        <v>8.91</v>
      </c>
      <c r="BN338">
        <v>68.33</v>
      </c>
      <c r="BO338">
        <v>68.33</v>
      </c>
      <c r="BQ338" t="s">
        <v>495</v>
      </c>
      <c r="BR338" t="s">
        <v>82</v>
      </c>
      <c r="BS338" s="3">
        <v>45995</v>
      </c>
      <c r="BT338" s="4">
        <v>0.33333333333333331</v>
      </c>
      <c r="BU338" t="s">
        <v>963</v>
      </c>
      <c r="BV338" t="s">
        <v>84</v>
      </c>
      <c r="BY338">
        <v>4651.2</v>
      </c>
      <c r="CA338" t="s">
        <v>497</v>
      </c>
      <c r="CC338" t="s">
        <v>76</v>
      </c>
      <c r="CD338">
        <v>1614</v>
      </c>
      <c r="CE338" t="s">
        <v>134</v>
      </c>
      <c r="CF338" s="3">
        <v>45996</v>
      </c>
      <c r="CI338">
        <v>1</v>
      </c>
      <c r="CJ338">
        <v>1</v>
      </c>
      <c r="CK338">
        <v>22</v>
      </c>
      <c r="CL338" t="s">
        <v>87</v>
      </c>
    </row>
    <row r="339" spans="1:90" x14ac:dyDescent="0.3">
      <c r="A339" t="s">
        <v>72</v>
      </c>
      <c r="B339" t="s">
        <v>73</v>
      </c>
      <c r="C339" t="s">
        <v>74</v>
      </c>
      <c r="E339" t="str">
        <f>"080069647165"</f>
        <v>080069647165</v>
      </c>
      <c r="F339" s="3">
        <v>45994</v>
      </c>
      <c r="G339">
        <v>202609</v>
      </c>
      <c r="H339" t="s">
        <v>75</v>
      </c>
      <c r="I339" t="s">
        <v>76</v>
      </c>
      <c r="J339" t="s">
        <v>77</v>
      </c>
      <c r="K339" t="s">
        <v>78</v>
      </c>
      <c r="L339" t="s">
        <v>156</v>
      </c>
      <c r="M339" t="s">
        <v>157</v>
      </c>
      <c r="N339" t="s">
        <v>964</v>
      </c>
      <c r="O339" t="s">
        <v>89</v>
      </c>
      <c r="P339" t="str">
        <f>"4170071584                    "</f>
        <v xml:space="preserve">4170071584                    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89.3</v>
      </c>
      <c r="AR339">
        <v>0</v>
      </c>
      <c r="AS339">
        <v>0</v>
      </c>
      <c r="AT339">
        <v>0</v>
      </c>
      <c r="AU339">
        <v>0</v>
      </c>
      <c r="AV339">
        <v>0</v>
      </c>
      <c r="AW339">
        <v>0</v>
      </c>
      <c r="AX339">
        <v>0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1</v>
      </c>
      <c r="BI339">
        <v>7</v>
      </c>
      <c r="BJ339">
        <v>2.7</v>
      </c>
      <c r="BK339">
        <v>7</v>
      </c>
      <c r="BL339">
        <v>266.14</v>
      </c>
      <c r="BM339">
        <v>39.92</v>
      </c>
      <c r="BN339">
        <v>306.06</v>
      </c>
      <c r="BO339">
        <v>306.06</v>
      </c>
      <c r="BQ339" t="s">
        <v>965</v>
      </c>
      <c r="BR339" t="s">
        <v>82</v>
      </c>
      <c r="BS339" s="3">
        <v>45995</v>
      </c>
      <c r="BT339" s="4">
        <v>0.57222222222222219</v>
      </c>
      <c r="BU339" t="s">
        <v>966</v>
      </c>
      <c r="BV339" t="s">
        <v>87</v>
      </c>
      <c r="BW339" t="s">
        <v>153</v>
      </c>
      <c r="BX339" t="s">
        <v>154</v>
      </c>
      <c r="BY339">
        <v>13572</v>
      </c>
      <c r="CA339" t="s">
        <v>967</v>
      </c>
      <c r="CC339" t="s">
        <v>157</v>
      </c>
      <c r="CD339">
        <v>7500</v>
      </c>
      <c r="CE339" t="s">
        <v>86</v>
      </c>
      <c r="CF339" s="3">
        <v>45996</v>
      </c>
      <c r="CI339">
        <v>1</v>
      </c>
      <c r="CJ339">
        <v>1</v>
      </c>
      <c r="CK339">
        <v>21</v>
      </c>
      <c r="CL339" t="s">
        <v>87</v>
      </c>
    </row>
    <row r="340" spans="1:90" x14ac:dyDescent="0.3">
      <c r="A340" t="s">
        <v>72</v>
      </c>
      <c r="B340" t="s">
        <v>73</v>
      </c>
      <c r="C340" t="s">
        <v>74</v>
      </c>
      <c r="E340" t="str">
        <f>"080069647166"</f>
        <v>080069647166</v>
      </c>
      <c r="F340" s="3">
        <v>45994</v>
      </c>
      <c r="G340">
        <v>202609</v>
      </c>
      <c r="H340" t="s">
        <v>75</v>
      </c>
      <c r="I340" t="s">
        <v>76</v>
      </c>
      <c r="J340" t="s">
        <v>77</v>
      </c>
      <c r="K340" t="s">
        <v>78</v>
      </c>
      <c r="L340" t="s">
        <v>141</v>
      </c>
      <c r="M340" t="s">
        <v>142</v>
      </c>
      <c r="N340" t="s">
        <v>738</v>
      </c>
      <c r="O340" t="s">
        <v>89</v>
      </c>
      <c r="P340" t="str">
        <f>"4170071538                    "</f>
        <v xml:space="preserve">4170071538                    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0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25.52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0</v>
      </c>
      <c r="AX340">
        <v>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1</v>
      </c>
      <c r="BI340">
        <v>1</v>
      </c>
      <c r="BJ340">
        <v>0.2</v>
      </c>
      <c r="BK340">
        <v>1</v>
      </c>
      <c r="BL340">
        <v>76.06</v>
      </c>
      <c r="BM340">
        <v>11.41</v>
      </c>
      <c r="BN340">
        <v>87.47</v>
      </c>
      <c r="BO340">
        <v>87.47</v>
      </c>
      <c r="BQ340" t="s">
        <v>739</v>
      </c>
      <c r="BR340" t="s">
        <v>82</v>
      </c>
      <c r="BS340" s="3">
        <v>45995</v>
      </c>
      <c r="BT340" s="4">
        <v>0.40763888888888888</v>
      </c>
      <c r="BU340" t="s">
        <v>968</v>
      </c>
      <c r="BV340" t="s">
        <v>84</v>
      </c>
      <c r="BY340">
        <v>1200</v>
      </c>
      <c r="CA340" t="s">
        <v>277</v>
      </c>
      <c r="CC340" t="s">
        <v>142</v>
      </c>
      <c r="CD340">
        <v>6001</v>
      </c>
      <c r="CE340" t="s">
        <v>134</v>
      </c>
      <c r="CF340" s="3">
        <v>45995</v>
      </c>
      <c r="CI340">
        <v>1</v>
      </c>
      <c r="CJ340">
        <v>1</v>
      </c>
      <c r="CK340">
        <v>21</v>
      </c>
      <c r="CL340" t="s">
        <v>87</v>
      </c>
    </row>
    <row r="341" spans="1:90" x14ac:dyDescent="0.3">
      <c r="A341" t="s">
        <v>72</v>
      </c>
      <c r="B341" t="s">
        <v>73</v>
      </c>
      <c r="C341" t="s">
        <v>74</v>
      </c>
      <c r="E341" t="str">
        <f>"080069647188"</f>
        <v>080069647188</v>
      </c>
      <c r="F341" s="3">
        <v>45994</v>
      </c>
      <c r="G341">
        <v>202609</v>
      </c>
      <c r="H341" t="s">
        <v>75</v>
      </c>
      <c r="I341" t="s">
        <v>76</v>
      </c>
      <c r="J341" t="s">
        <v>77</v>
      </c>
      <c r="K341" t="s">
        <v>78</v>
      </c>
      <c r="L341" t="s">
        <v>141</v>
      </c>
      <c r="M341" t="s">
        <v>142</v>
      </c>
      <c r="N341" t="s">
        <v>312</v>
      </c>
      <c r="O341" t="s">
        <v>80</v>
      </c>
      <c r="P341" t="str">
        <f>"4170071496                    "</f>
        <v xml:space="preserve">4170071496                    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v>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57.52</v>
      </c>
      <c r="AR341">
        <v>0</v>
      </c>
      <c r="AS341">
        <v>0</v>
      </c>
      <c r="AT341">
        <v>0</v>
      </c>
      <c r="AU341">
        <v>0</v>
      </c>
      <c r="AV341">
        <v>0</v>
      </c>
      <c r="AW341">
        <v>0</v>
      </c>
      <c r="AX341">
        <v>0</v>
      </c>
      <c r="AY341">
        <v>0</v>
      </c>
      <c r="AZ341">
        <v>0</v>
      </c>
      <c r="BA341">
        <v>0</v>
      </c>
      <c r="BB341">
        <v>0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1</v>
      </c>
      <c r="BI341">
        <v>6.3</v>
      </c>
      <c r="BJ341">
        <v>18.600000000000001</v>
      </c>
      <c r="BK341">
        <v>19</v>
      </c>
      <c r="BL341">
        <v>177.52</v>
      </c>
      <c r="BM341">
        <v>26.63</v>
      </c>
      <c r="BN341">
        <v>204.15</v>
      </c>
      <c r="BO341">
        <v>204.15</v>
      </c>
      <c r="BQ341" t="s">
        <v>313</v>
      </c>
      <c r="BR341" t="s">
        <v>82</v>
      </c>
      <c r="BS341" s="3">
        <v>45996</v>
      </c>
      <c r="BT341" s="4">
        <v>0.40972222222222221</v>
      </c>
      <c r="BU341" t="s">
        <v>969</v>
      </c>
      <c r="BV341" t="s">
        <v>84</v>
      </c>
      <c r="BY341">
        <v>93016.77</v>
      </c>
      <c r="CA341" t="s">
        <v>315</v>
      </c>
      <c r="CC341" t="s">
        <v>142</v>
      </c>
      <c r="CD341">
        <v>6001</v>
      </c>
      <c r="CE341" t="s">
        <v>86</v>
      </c>
      <c r="CF341" s="3">
        <v>45996</v>
      </c>
      <c r="CI341">
        <v>3</v>
      </c>
      <c r="CJ341">
        <v>2</v>
      </c>
      <c r="CK341">
        <v>41</v>
      </c>
      <c r="CL341" t="s">
        <v>87</v>
      </c>
    </row>
    <row r="342" spans="1:90" x14ac:dyDescent="0.3">
      <c r="A342" t="s">
        <v>72</v>
      </c>
      <c r="B342" t="s">
        <v>73</v>
      </c>
      <c r="C342" t="s">
        <v>74</v>
      </c>
      <c r="E342" t="str">
        <f>"080069647233"</f>
        <v>080069647233</v>
      </c>
      <c r="F342" s="3">
        <v>45994</v>
      </c>
      <c r="G342">
        <v>202609</v>
      </c>
      <c r="H342" t="s">
        <v>75</v>
      </c>
      <c r="I342" t="s">
        <v>76</v>
      </c>
      <c r="J342" t="s">
        <v>77</v>
      </c>
      <c r="K342" t="s">
        <v>78</v>
      </c>
      <c r="L342" t="s">
        <v>399</v>
      </c>
      <c r="M342" t="s">
        <v>400</v>
      </c>
      <c r="N342" t="s">
        <v>970</v>
      </c>
      <c r="O342" t="s">
        <v>89</v>
      </c>
      <c r="P342" t="str">
        <f>"4170071601                    "</f>
        <v xml:space="preserve">4170071601                    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  <c r="AJ342">
        <v>0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19.940000000000001</v>
      </c>
      <c r="AR342">
        <v>0</v>
      </c>
      <c r="AS342">
        <v>0</v>
      </c>
      <c r="AT342">
        <v>0</v>
      </c>
      <c r="AU342">
        <v>0</v>
      </c>
      <c r="AV342">
        <v>0</v>
      </c>
      <c r="AW342">
        <v>0</v>
      </c>
      <c r="AX342">
        <v>0</v>
      </c>
      <c r="AY342">
        <v>0</v>
      </c>
      <c r="AZ342">
        <v>0</v>
      </c>
      <c r="BA342">
        <v>0</v>
      </c>
      <c r="BB342">
        <v>0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1</v>
      </c>
      <c r="BI342">
        <v>2</v>
      </c>
      <c r="BJ342">
        <v>3.4</v>
      </c>
      <c r="BK342">
        <v>4</v>
      </c>
      <c r="BL342">
        <v>59.42</v>
      </c>
      <c r="BM342">
        <v>8.91</v>
      </c>
      <c r="BN342">
        <v>68.33</v>
      </c>
      <c r="BO342">
        <v>68.33</v>
      </c>
      <c r="BQ342" t="s">
        <v>971</v>
      </c>
      <c r="BR342" t="s">
        <v>82</v>
      </c>
      <c r="BS342" s="3">
        <v>45995</v>
      </c>
      <c r="BT342" s="4">
        <v>0.36944444444444446</v>
      </c>
      <c r="BU342" t="s">
        <v>972</v>
      </c>
      <c r="BV342" t="s">
        <v>84</v>
      </c>
      <c r="BY342">
        <v>17136</v>
      </c>
      <c r="CA342" t="s">
        <v>973</v>
      </c>
      <c r="CC342" t="s">
        <v>400</v>
      </c>
      <c r="CD342">
        <v>1709</v>
      </c>
      <c r="CE342" t="s">
        <v>93</v>
      </c>
      <c r="CF342" s="3">
        <v>45996</v>
      </c>
      <c r="CI342">
        <v>1</v>
      </c>
      <c r="CJ342">
        <v>1</v>
      </c>
      <c r="CK342">
        <v>22</v>
      </c>
      <c r="CL342" t="s">
        <v>87</v>
      </c>
    </row>
    <row r="343" spans="1:90" x14ac:dyDescent="0.3">
      <c r="A343" t="s">
        <v>72</v>
      </c>
      <c r="B343" t="s">
        <v>73</v>
      </c>
      <c r="C343" t="s">
        <v>74</v>
      </c>
      <c r="E343" t="str">
        <f>"080069647266"</f>
        <v>080069647266</v>
      </c>
      <c r="F343" s="3">
        <v>45994</v>
      </c>
      <c r="G343">
        <v>202609</v>
      </c>
      <c r="H343" t="s">
        <v>75</v>
      </c>
      <c r="I343" t="s">
        <v>76</v>
      </c>
      <c r="J343" t="s">
        <v>77</v>
      </c>
      <c r="K343" t="s">
        <v>78</v>
      </c>
      <c r="L343" t="s">
        <v>974</v>
      </c>
      <c r="M343" t="s">
        <v>975</v>
      </c>
      <c r="N343" t="s">
        <v>976</v>
      </c>
      <c r="O343" t="s">
        <v>89</v>
      </c>
      <c r="P343" t="str">
        <f>"4170071540                    "</f>
        <v xml:space="preserve">4170071540                    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  <c r="AJ343">
        <v>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49.45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0</v>
      </c>
      <c r="AX343">
        <v>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1</v>
      </c>
      <c r="BI343">
        <v>1</v>
      </c>
      <c r="BJ343">
        <v>1.1000000000000001</v>
      </c>
      <c r="BK343">
        <v>1.5</v>
      </c>
      <c r="BL343">
        <v>147.38</v>
      </c>
      <c r="BM343">
        <v>22.11</v>
      </c>
      <c r="BN343">
        <v>169.49</v>
      </c>
      <c r="BO343">
        <v>169.49</v>
      </c>
      <c r="BQ343" t="s">
        <v>977</v>
      </c>
      <c r="BR343" t="s">
        <v>82</v>
      </c>
      <c r="BS343" s="3">
        <v>45995</v>
      </c>
      <c r="BT343" s="4">
        <v>0.67152777777777772</v>
      </c>
      <c r="BU343" t="s">
        <v>978</v>
      </c>
      <c r="BV343" t="s">
        <v>84</v>
      </c>
      <c r="BY343">
        <v>5510</v>
      </c>
      <c r="CA343" t="s">
        <v>979</v>
      </c>
      <c r="CC343" t="s">
        <v>975</v>
      </c>
      <c r="CD343">
        <v>7185</v>
      </c>
      <c r="CE343" t="s">
        <v>86</v>
      </c>
      <c r="CF343" s="3">
        <v>45997</v>
      </c>
      <c r="CI343">
        <v>2</v>
      </c>
      <c r="CJ343">
        <v>1</v>
      </c>
      <c r="CK343">
        <v>23</v>
      </c>
      <c r="CL343" t="s">
        <v>87</v>
      </c>
    </row>
    <row r="344" spans="1:90" x14ac:dyDescent="0.3">
      <c r="A344" t="s">
        <v>72</v>
      </c>
      <c r="B344" t="s">
        <v>73</v>
      </c>
      <c r="C344" t="s">
        <v>74</v>
      </c>
      <c r="E344" t="str">
        <f>"080069647328"</f>
        <v>080069647328</v>
      </c>
      <c r="F344" s="3">
        <v>45994</v>
      </c>
      <c r="G344">
        <v>202609</v>
      </c>
      <c r="H344" t="s">
        <v>75</v>
      </c>
      <c r="I344" t="s">
        <v>76</v>
      </c>
      <c r="J344" t="s">
        <v>77</v>
      </c>
      <c r="K344" t="s">
        <v>78</v>
      </c>
      <c r="L344" t="s">
        <v>943</v>
      </c>
      <c r="M344" t="s">
        <v>944</v>
      </c>
      <c r="N344" t="s">
        <v>945</v>
      </c>
      <c r="O344" t="s">
        <v>80</v>
      </c>
      <c r="P344" t="str">
        <f>"4170071412                    "</f>
        <v xml:space="preserve">4170071412                    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0</v>
      </c>
      <c r="AJ344">
        <v>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49.2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0</v>
      </c>
      <c r="AX344">
        <v>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1</v>
      </c>
      <c r="BI344">
        <v>25</v>
      </c>
      <c r="BJ344">
        <v>9.4</v>
      </c>
      <c r="BK344">
        <v>25</v>
      </c>
      <c r="BL344">
        <v>152.72</v>
      </c>
      <c r="BM344">
        <v>22.91</v>
      </c>
      <c r="BN344">
        <v>175.63</v>
      </c>
      <c r="BO344">
        <v>175.63</v>
      </c>
      <c r="BQ344" t="s">
        <v>946</v>
      </c>
      <c r="BR344" t="s">
        <v>82</v>
      </c>
      <c r="BS344" s="3">
        <v>45995</v>
      </c>
      <c r="BT344" s="4">
        <v>0.4236111111111111</v>
      </c>
      <c r="BU344" t="s">
        <v>947</v>
      </c>
      <c r="BV344" t="s">
        <v>84</v>
      </c>
      <c r="BY344">
        <v>46816</v>
      </c>
      <c r="CC344" t="s">
        <v>944</v>
      </c>
      <c r="CD344">
        <v>1682</v>
      </c>
      <c r="CE344" t="s">
        <v>86</v>
      </c>
      <c r="CF344" s="3">
        <v>45996</v>
      </c>
      <c r="CI344">
        <v>1</v>
      </c>
      <c r="CJ344">
        <v>1</v>
      </c>
      <c r="CK344">
        <v>42</v>
      </c>
      <c r="CL344" t="s">
        <v>87</v>
      </c>
    </row>
    <row r="345" spans="1:90" x14ac:dyDescent="0.3">
      <c r="A345" t="s">
        <v>72</v>
      </c>
      <c r="B345" t="s">
        <v>73</v>
      </c>
      <c r="C345" t="s">
        <v>74</v>
      </c>
      <c r="E345" t="str">
        <f>"080069647364"</f>
        <v>080069647364</v>
      </c>
      <c r="F345" s="3">
        <v>45994</v>
      </c>
      <c r="G345">
        <v>202609</v>
      </c>
      <c r="H345" t="s">
        <v>75</v>
      </c>
      <c r="I345" t="s">
        <v>76</v>
      </c>
      <c r="J345" t="s">
        <v>77</v>
      </c>
      <c r="K345" t="s">
        <v>78</v>
      </c>
      <c r="L345" t="s">
        <v>156</v>
      </c>
      <c r="M345" t="s">
        <v>157</v>
      </c>
      <c r="N345" t="s">
        <v>508</v>
      </c>
      <c r="O345" t="s">
        <v>89</v>
      </c>
      <c r="P345" t="str">
        <f>"4170071607                    "</f>
        <v xml:space="preserve">4170071607                    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0</v>
      </c>
      <c r="AJ345">
        <v>0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25.52</v>
      </c>
      <c r="AR345">
        <v>0</v>
      </c>
      <c r="AS345">
        <v>0</v>
      </c>
      <c r="AT345">
        <v>0</v>
      </c>
      <c r="AU345">
        <v>0</v>
      </c>
      <c r="AV345">
        <v>0</v>
      </c>
      <c r="AW345">
        <v>0</v>
      </c>
      <c r="AX345">
        <v>0</v>
      </c>
      <c r="AY345">
        <v>0</v>
      </c>
      <c r="AZ345">
        <v>0</v>
      </c>
      <c r="BA345">
        <v>0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1</v>
      </c>
      <c r="BI345">
        <v>2</v>
      </c>
      <c r="BJ345">
        <v>0.7</v>
      </c>
      <c r="BK345">
        <v>2</v>
      </c>
      <c r="BL345">
        <v>76.06</v>
      </c>
      <c r="BM345">
        <v>11.41</v>
      </c>
      <c r="BN345">
        <v>87.47</v>
      </c>
      <c r="BO345">
        <v>87.47</v>
      </c>
      <c r="BQ345" t="s">
        <v>509</v>
      </c>
      <c r="BR345" t="s">
        <v>82</v>
      </c>
      <c r="BS345" s="3">
        <v>45995</v>
      </c>
      <c r="BT345" s="4">
        <v>0.4236111111111111</v>
      </c>
      <c r="BU345" t="s">
        <v>980</v>
      </c>
      <c r="BV345" t="s">
        <v>84</v>
      </c>
      <c r="BY345">
        <v>3306</v>
      </c>
      <c r="CA345" t="s">
        <v>162</v>
      </c>
      <c r="CC345" t="s">
        <v>157</v>
      </c>
      <c r="CD345">
        <v>7535</v>
      </c>
      <c r="CE345" t="s">
        <v>86</v>
      </c>
      <c r="CF345" s="3">
        <v>45997</v>
      </c>
      <c r="CI345">
        <v>1</v>
      </c>
      <c r="CJ345">
        <v>1</v>
      </c>
      <c r="CK345">
        <v>21</v>
      </c>
      <c r="CL345" t="s">
        <v>87</v>
      </c>
    </row>
    <row r="346" spans="1:90" x14ac:dyDescent="0.3">
      <c r="A346" t="s">
        <v>72</v>
      </c>
      <c r="B346" t="s">
        <v>73</v>
      </c>
      <c r="C346" t="s">
        <v>74</v>
      </c>
      <c r="E346" t="str">
        <f>"080069647617"</f>
        <v>080069647617</v>
      </c>
      <c r="F346" s="3">
        <v>45994</v>
      </c>
      <c r="G346">
        <v>202609</v>
      </c>
      <c r="H346" t="s">
        <v>75</v>
      </c>
      <c r="I346" t="s">
        <v>76</v>
      </c>
      <c r="J346" t="s">
        <v>77</v>
      </c>
      <c r="K346" t="s">
        <v>78</v>
      </c>
      <c r="L346" t="s">
        <v>156</v>
      </c>
      <c r="M346" t="s">
        <v>157</v>
      </c>
      <c r="N346" t="s">
        <v>981</v>
      </c>
      <c r="O346" t="s">
        <v>89</v>
      </c>
      <c r="P346" t="str">
        <f>"4170071617                    "</f>
        <v xml:space="preserve">4170071617                    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25.52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0</v>
      </c>
      <c r="AX346">
        <v>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1</v>
      </c>
      <c r="BI346">
        <v>1</v>
      </c>
      <c r="BJ346">
        <v>0.2</v>
      </c>
      <c r="BK346">
        <v>1</v>
      </c>
      <c r="BL346">
        <v>76.06</v>
      </c>
      <c r="BM346">
        <v>11.41</v>
      </c>
      <c r="BN346">
        <v>87.47</v>
      </c>
      <c r="BO346">
        <v>87.47</v>
      </c>
      <c r="BQ346" t="s">
        <v>982</v>
      </c>
      <c r="BR346" t="s">
        <v>82</v>
      </c>
      <c r="BS346" s="3">
        <v>45995</v>
      </c>
      <c r="BT346" s="4">
        <v>0.41666666666666669</v>
      </c>
      <c r="BU346" t="s">
        <v>983</v>
      </c>
      <c r="BV346" t="s">
        <v>84</v>
      </c>
      <c r="BY346">
        <v>1200</v>
      </c>
      <c r="CC346" t="s">
        <v>157</v>
      </c>
      <c r="CD346">
        <v>7441</v>
      </c>
      <c r="CE346" t="s">
        <v>134</v>
      </c>
      <c r="CF346" s="3">
        <v>45996</v>
      </c>
      <c r="CI346">
        <v>1</v>
      </c>
      <c r="CJ346">
        <v>1</v>
      </c>
      <c r="CK346">
        <v>21</v>
      </c>
      <c r="CL346" t="s">
        <v>87</v>
      </c>
    </row>
    <row r="347" spans="1:90" x14ac:dyDescent="0.3">
      <c r="A347" t="s">
        <v>72</v>
      </c>
      <c r="B347" t="s">
        <v>73</v>
      </c>
      <c r="C347" t="s">
        <v>74</v>
      </c>
      <c r="E347" t="str">
        <f>"080069647644"</f>
        <v>080069647644</v>
      </c>
      <c r="F347" s="3">
        <v>45994</v>
      </c>
      <c r="G347">
        <v>202609</v>
      </c>
      <c r="H347" t="s">
        <v>75</v>
      </c>
      <c r="I347" t="s">
        <v>76</v>
      </c>
      <c r="J347" t="s">
        <v>77</v>
      </c>
      <c r="K347" t="s">
        <v>78</v>
      </c>
      <c r="L347" t="s">
        <v>458</v>
      </c>
      <c r="M347" t="s">
        <v>459</v>
      </c>
      <c r="N347" t="s">
        <v>460</v>
      </c>
      <c r="O347" t="s">
        <v>89</v>
      </c>
      <c r="P347" t="str">
        <f>"4170071679                    "</f>
        <v xml:space="preserve">4170071679                    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0</v>
      </c>
      <c r="AJ347">
        <v>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49.45</v>
      </c>
      <c r="AR347">
        <v>0</v>
      </c>
      <c r="AS347">
        <v>0</v>
      </c>
      <c r="AT347">
        <v>0</v>
      </c>
      <c r="AU347">
        <v>0</v>
      </c>
      <c r="AV347">
        <v>0</v>
      </c>
      <c r="AW347">
        <v>0</v>
      </c>
      <c r="AX347">
        <v>0</v>
      </c>
      <c r="AY347">
        <v>0</v>
      </c>
      <c r="AZ347">
        <v>0</v>
      </c>
      <c r="BA347">
        <v>0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1</v>
      </c>
      <c r="BI347">
        <v>1</v>
      </c>
      <c r="BJ347">
        <v>0.2</v>
      </c>
      <c r="BK347">
        <v>1</v>
      </c>
      <c r="BL347">
        <v>147.38</v>
      </c>
      <c r="BM347">
        <v>22.11</v>
      </c>
      <c r="BN347">
        <v>169.49</v>
      </c>
      <c r="BO347">
        <v>169.49</v>
      </c>
      <c r="BQ347" t="s">
        <v>461</v>
      </c>
      <c r="BR347" t="s">
        <v>82</v>
      </c>
      <c r="BS347" s="3">
        <v>45995</v>
      </c>
      <c r="BT347" s="4">
        <v>0.53333333333333333</v>
      </c>
      <c r="BU347" t="s">
        <v>462</v>
      </c>
      <c r="BV347" t="s">
        <v>84</v>
      </c>
      <c r="BY347">
        <v>1200</v>
      </c>
      <c r="CA347" t="s">
        <v>463</v>
      </c>
      <c r="CC347" t="s">
        <v>459</v>
      </c>
      <c r="CD347">
        <v>7130</v>
      </c>
      <c r="CE347" t="s">
        <v>134</v>
      </c>
      <c r="CF347" s="3">
        <v>45996</v>
      </c>
      <c r="CI347">
        <v>1</v>
      </c>
      <c r="CJ347">
        <v>1</v>
      </c>
      <c r="CK347">
        <v>23</v>
      </c>
      <c r="CL347" t="s">
        <v>87</v>
      </c>
    </row>
    <row r="348" spans="1:90" x14ac:dyDescent="0.3">
      <c r="A348" t="s">
        <v>72</v>
      </c>
      <c r="B348" t="s">
        <v>73</v>
      </c>
      <c r="C348" t="s">
        <v>74</v>
      </c>
      <c r="E348" t="str">
        <f>"080069647666"</f>
        <v>080069647666</v>
      </c>
      <c r="F348" s="3">
        <v>45994</v>
      </c>
      <c r="G348">
        <v>202609</v>
      </c>
      <c r="H348" t="s">
        <v>75</v>
      </c>
      <c r="I348" t="s">
        <v>76</v>
      </c>
      <c r="J348" t="s">
        <v>77</v>
      </c>
      <c r="K348" t="s">
        <v>78</v>
      </c>
      <c r="L348" t="s">
        <v>535</v>
      </c>
      <c r="M348" t="s">
        <v>535</v>
      </c>
      <c r="N348" t="s">
        <v>772</v>
      </c>
      <c r="O348" t="s">
        <v>89</v>
      </c>
      <c r="P348" t="str">
        <f>"4170071595                    "</f>
        <v xml:space="preserve">4170071595                    </v>
      </c>
      <c r="Q348">
        <v>0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0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49.45</v>
      </c>
      <c r="AR348">
        <v>0</v>
      </c>
      <c r="AS348">
        <v>0</v>
      </c>
      <c r="AT348">
        <v>0</v>
      </c>
      <c r="AU348">
        <v>0</v>
      </c>
      <c r="AV348">
        <v>0</v>
      </c>
      <c r="AW348">
        <v>0</v>
      </c>
      <c r="AX348">
        <v>0</v>
      </c>
      <c r="AY348">
        <v>0</v>
      </c>
      <c r="AZ348">
        <v>0</v>
      </c>
      <c r="BA348">
        <v>0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1</v>
      </c>
      <c r="BI348">
        <v>1</v>
      </c>
      <c r="BJ348">
        <v>0.2</v>
      </c>
      <c r="BK348">
        <v>1</v>
      </c>
      <c r="BL348">
        <v>147.38</v>
      </c>
      <c r="BM348">
        <v>22.11</v>
      </c>
      <c r="BN348">
        <v>169.49</v>
      </c>
      <c r="BO348">
        <v>169.49</v>
      </c>
      <c r="BQ348" t="s">
        <v>773</v>
      </c>
      <c r="BR348" t="s">
        <v>82</v>
      </c>
      <c r="BS348" s="3">
        <v>45995</v>
      </c>
      <c r="BT348" s="4">
        <v>0.79722222222222228</v>
      </c>
      <c r="BU348" t="s">
        <v>984</v>
      </c>
      <c r="BV348" t="s">
        <v>87</v>
      </c>
      <c r="BW348" t="s">
        <v>153</v>
      </c>
      <c r="BX348" t="s">
        <v>345</v>
      </c>
      <c r="BY348">
        <v>1200</v>
      </c>
      <c r="CA348" t="s">
        <v>539</v>
      </c>
      <c r="CC348" t="s">
        <v>535</v>
      </c>
      <c r="CD348">
        <v>7646</v>
      </c>
      <c r="CE348" t="s">
        <v>134</v>
      </c>
      <c r="CF348" s="3">
        <v>45996</v>
      </c>
      <c r="CI348">
        <v>1</v>
      </c>
      <c r="CJ348">
        <v>1</v>
      </c>
      <c r="CK348">
        <v>23</v>
      </c>
      <c r="CL348" t="s">
        <v>87</v>
      </c>
    </row>
    <row r="349" spans="1:90" x14ac:dyDescent="0.3">
      <c r="A349" t="s">
        <v>72</v>
      </c>
      <c r="B349" t="s">
        <v>73</v>
      </c>
      <c r="C349" t="s">
        <v>74</v>
      </c>
      <c r="E349" t="str">
        <f>"080069647695"</f>
        <v>080069647695</v>
      </c>
      <c r="F349" s="3">
        <v>45994</v>
      </c>
      <c r="G349">
        <v>202609</v>
      </c>
      <c r="H349" t="s">
        <v>75</v>
      </c>
      <c r="I349" t="s">
        <v>76</v>
      </c>
      <c r="J349" t="s">
        <v>77</v>
      </c>
      <c r="K349" t="s">
        <v>78</v>
      </c>
      <c r="L349" t="s">
        <v>985</v>
      </c>
      <c r="M349" t="s">
        <v>986</v>
      </c>
      <c r="N349" t="s">
        <v>987</v>
      </c>
      <c r="O349" t="s">
        <v>89</v>
      </c>
      <c r="P349" t="str">
        <f>"4170071484                    "</f>
        <v xml:space="preserve">4170071484                    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0</v>
      </c>
      <c r="AJ349">
        <v>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194.61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0</v>
      </c>
      <c r="AX349">
        <v>0</v>
      </c>
      <c r="AY349">
        <v>0</v>
      </c>
      <c r="AZ349">
        <v>0</v>
      </c>
      <c r="BA349">
        <v>0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1</v>
      </c>
      <c r="BI349">
        <v>8.5</v>
      </c>
      <c r="BJ349">
        <v>3.9</v>
      </c>
      <c r="BK349">
        <v>8.5</v>
      </c>
      <c r="BL349">
        <v>579.97</v>
      </c>
      <c r="BM349">
        <v>87</v>
      </c>
      <c r="BN349">
        <v>666.97</v>
      </c>
      <c r="BO349">
        <v>666.97</v>
      </c>
      <c r="BQ349" t="s">
        <v>988</v>
      </c>
      <c r="BR349" t="s">
        <v>82</v>
      </c>
      <c r="BS349" s="3">
        <v>45995</v>
      </c>
      <c r="BT349" s="4">
        <v>0.50069444444444444</v>
      </c>
      <c r="BU349" t="s">
        <v>989</v>
      </c>
      <c r="BV349" t="s">
        <v>84</v>
      </c>
      <c r="BY349">
        <v>19532.37</v>
      </c>
      <c r="CA349" t="s">
        <v>990</v>
      </c>
      <c r="CC349" t="s">
        <v>986</v>
      </c>
      <c r="CD349" s="5" t="s">
        <v>991</v>
      </c>
      <c r="CE349" t="s">
        <v>86</v>
      </c>
      <c r="CF349" s="3">
        <v>45995</v>
      </c>
      <c r="CI349">
        <v>1</v>
      </c>
      <c r="CJ349">
        <v>1</v>
      </c>
      <c r="CK349">
        <v>23</v>
      </c>
      <c r="CL349" t="s">
        <v>87</v>
      </c>
    </row>
    <row r="350" spans="1:90" x14ac:dyDescent="0.3">
      <c r="A350" t="s">
        <v>72</v>
      </c>
      <c r="B350" t="s">
        <v>73</v>
      </c>
      <c r="C350" t="s">
        <v>74</v>
      </c>
      <c r="E350" t="str">
        <f>"080069647727"</f>
        <v>080069647727</v>
      </c>
      <c r="F350" s="3">
        <v>45994</v>
      </c>
      <c r="G350">
        <v>202609</v>
      </c>
      <c r="H350" t="s">
        <v>75</v>
      </c>
      <c r="I350" t="s">
        <v>76</v>
      </c>
      <c r="J350" t="s">
        <v>77</v>
      </c>
      <c r="K350" t="s">
        <v>78</v>
      </c>
      <c r="L350" t="s">
        <v>302</v>
      </c>
      <c r="M350" t="s">
        <v>303</v>
      </c>
      <c r="N350" t="s">
        <v>795</v>
      </c>
      <c r="O350" t="s">
        <v>80</v>
      </c>
      <c r="P350" t="str">
        <f>"4170071567                    "</f>
        <v xml:space="preserve">4170071567                    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  <c r="AJ350">
        <v>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63.64</v>
      </c>
      <c r="AR350">
        <v>0</v>
      </c>
      <c r="AS350">
        <v>0</v>
      </c>
      <c r="AT350">
        <v>0</v>
      </c>
      <c r="AU350">
        <v>0</v>
      </c>
      <c r="AV350">
        <v>0</v>
      </c>
      <c r="AW350">
        <v>0</v>
      </c>
      <c r="AX350">
        <v>0</v>
      </c>
      <c r="AY350">
        <v>0</v>
      </c>
      <c r="AZ350">
        <v>0</v>
      </c>
      <c r="BA350">
        <v>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2</v>
      </c>
      <c r="BI350">
        <v>22</v>
      </c>
      <c r="BJ350">
        <v>10.4</v>
      </c>
      <c r="BK350">
        <v>22</v>
      </c>
      <c r="BL350">
        <v>195.76</v>
      </c>
      <c r="BM350">
        <v>29.36</v>
      </c>
      <c r="BN350">
        <v>225.12</v>
      </c>
      <c r="BO350">
        <v>225.12</v>
      </c>
      <c r="BQ350" t="s">
        <v>796</v>
      </c>
      <c r="BR350" t="s">
        <v>82</v>
      </c>
      <c r="BS350" s="3">
        <v>45995</v>
      </c>
      <c r="BT350" s="4">
        <v>0.35</v>
      </c>
      <c r="BU350" t="s">
        <v>992</v>
      </c>
      <c r="BV350" t="s">
        <v>84</v>
      </c>
      <c r="BY350">
        <v>51962.76</v>
      </c>
      <c r="CA350">
        <v>9107126013089</v>
      </c>
      <c r="CC350" t="s">
        <v>303</v>
      </c>
      <c r="CD350" s="5" t="s">
        <v>664</v>
      </c>
      <c r="CE350" t="s">
        <v>956</v>
      </c>
      <c r="CF350" s="3">
        <v>45996</v>
      </c>
      <c r="CI350">
        <v>1</v>
      </c>
      <c r="CJ350">
        <v>1</v>
      </c>
      <c r="CK350">
        <v>41</v>
      </c>
      <c r="CL350" t="s">
        <v>87</v>
      </c>
    </row>
    <row r="351" spans="1:90" x14ac:dyDescent="0.3">
      <c r="A351" t="s">
        <v>72</v>
      </c>
      <c r="B351" t="s">
        <v>73</v>
      </c>
      <c r="C351" t="s">
        <v>74</v>
      </c>
      <c r="E351" t="str">
        <f>"080069647757"</f>
        <v>080069647757</v>
      </c>
      <c r="F351" s="3">
        <v>45994</v>
      </c>
      <c r="G351">
        <v>202609</v>
      </c>
      <c r="H351" t="s">
        <v>75</v>
      </c>
      <c r="I351" t="s">
        <v>76</v>
      </c>
      <c r="J351" t="s">
        <v>77</v>
      </c>
      <c r="K351" t="s">
        <v>78</v>
      </c>
      <c r="L351" t="s">
        <v>458</v>
      </c>
      <c r="M351" t="s">
        <v>459</v>
      </c>
      <c r="N351" t="s">
        <v>460</v>
      </c>
      <c r="O351" t="s">
        <v>89</v>
      </c>
      <c r="P351" t="str">
        <f>"4170071670                    "</f>
        <v xml:space="preserve">4170071670                    </v>
      </c>
      <c r="Q351">
        <v>0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0</v>
      </c>
      <c r="AJ351">
        <v>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49.45</v>
      </c>
      <c r="AR351">
        <v>0</v>
      </c>
      <c r="AS351">
        <v>0</v>
      </c>
      <c r="AT351">
        <v>0</v>
      </c>
      <c r="AU351">
        <v>0</v>
      </c>
      <c r="AV351">
        <v>0</v>
      </c>
      <c r="AW351">
        <v>0</v>
      </c>
      <c r="AX351">
        <v>0</v>
      </c>
      <c r="AY351">
        <v>0</v>
      </c>
      <c r="AZ351">
        <v>0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1</v>
      </c>
      <c r="BI351">
        <v>1</v>
      </c>
      <c r="BJ351">
        <v>1.8</v>
      </c>
      <c r="BK351">
        <v>2</v>
      </c>
      <c r="BL351">
        <v>147.38</v>
      </c>
      <c r="BM351">
        <v>22.11</v>
      </c>
      <c r="BN351">
        <v>169.49</v>
      </c>
      <c r="BO351">
        <v>169.49</v>
      </c>
      <c r="BQ351" t="s">
        <v>461</v>
      </c>
      <c r="BR351" t="s">
        <v>82</v>
      </c>
      <c r="BS351" s="3">
        <v>45995</v>
      </c>
      <c r="BT351" s="4">
        <v>0.53333333333333333</v>
      </c>
      <c r="BU351" t="s">
        <v>462</v>
      </c>
      <c r="BV351" t="s">
        <v>84</v>
      </c>
      <c r="BY351">
        <v>8816</v>
      </c>
      <c r="CA351" t="s">
        <v>463</v>
      </c>
      <c r="CC351" t="s">
        <v>459</v>
      </c>
      <c r="CD351">
        <v>7130</v>
      </c>
      <c r="CE351" t="s">
        <v>86</v>
      </c>
      <c r="CF351" s="3">
        <v>45996</v>
      </c>
      <c r="CI351">
        <v>1</v>
      </c>
      <c r="CJ351">
        <v>1</v>
      </c>
      <c r="CK351">
        <v>23</v>
      </c>
      <c r="CL351" t="s">
        <v>87</v>
      </c>
    </row>
    <row r="352" spans="1:90" x14ac:dyDescent="0.3">
      <c r="A352" t="s">
        <v>72</v>
      </c>
      <c r="B352" t="s">
        <v>73</v>
      </c>
      <c r="C352" t="s">
        <v>74</v>
      </c>
      <c r="E352" t="str">
        <f>"080069647782"</f>
        <v>080069647782</v>
      </c>
      <c r="F352" s="3">
        <v>45994</v>
      </c>
      <c r="G352">
        <v>202609</v>
      </c>
      <c r="H352" t="s">
        <v>75</v>
      </c>
      <c r="I352" t="s">
        <v>76</v>
      </c>
      <c r="J352" t="s">
        <v>77</v>
      </c>
      <c r="K352" t="s">
        <v>78</v>
      </c>
      <c r="L352" t="s">
        <v>265</v>
      </c>
      <c r="M352" t="s">
        <v>266</v>
      </c>
      <c r="N352" t="s">
        <v>474</v>
      </c>
      <c r="O352" t="s">
        <v>340</v>
      </c>
      <c r="P352" t="str">
        <f>"4170071598                    "</f>
        <v xml:space="preserve">4170071598                    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0</v>
      </c>
      <c r="AJ352">
        <v>0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19.940000000000001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0</v>
      </c>
      <c r="AX352">
        <v>0</v>
      </c>
      <c r="AY352">
        <v>0</v>
      </c>
      <c r="AZ352">
        <v>0</v>
      </c>
      <c r="BA352">
        <v>0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1</v>
      </c>
      <c r="BI352">
        <v>2</v>
      </c>
      <c r="BJ352">
        <v>4.5</v>
      </c>
      <c r="BK352">
        <v>5</v>
      </c>
      <c r="BL352">
        <v>59.43</v>
      </c>
      <c r="BM352">
        <v>8.91</v>
      </c>
      <c r="BN352">
        <v>68.34</v>
      </c>
      <c r="BO352">
        <v>68.34</v>
      </c>
      <c r="BQ352" t="s">
        <v>475</v>
      </c>
      <c r="BR352" t="s">
        <v>82</v>
      </c>
      <c r="BS352" s="3">
        <v>45995</v>
      </c>
      <c r="BT352" s="4">
        <v>0.44097222222222221</v>
      </c>
      <c r="BU352" t="s">
        <v>476</v>
      </c>
      <c r="BV352" t="s">
        <v>84</v>
      </c>
      <c r="BY352">
        <v>22620</v>
      </c>
      <c r="CA352" t="s">
        <v>417</v>
      </c>
      <c r="CC352" t="s">
        <v>266</v>
      </c>
      <c r="CD352">
        <v>1459</v>
      </c>
      <c r="CE352" t="s">
        <v>86</v>
      </c>
      <c r="CF352" s="3">
        <v>45996</v>
      </c>
      <c r="CI352">
        <v>1</v>
      </c>
      <c r="CJ352">
        <v>1</v>
      </c>
      <c r="CK352">
        <v>32</v>
      </c>
      <c r="CL352" t="s">
        <v>87</v>
      </c>
    </row>
    <row r="353" spans="1:90" x14ac:dyDescent="0.3">
      <c r="A353" t="s">
        <v>72</v>
      </c>
      <c r="B353" t="s">
        <v>73</v>
      </c>
      <c r="C353" t="s">
        <v>74</v>
      </c>
      <c r="E353" t="str">
        <f>"080069647802"</f>
        <v>080069647802</v>
      </c>
      <c r="F353" s="3">
        <v>45994</v>
      </c>
      <c r="G353">
        <v>202609</v>
      </c>
      <c r="H353" t="s">
        <v>75</v>
      </c>
      <c r="I353" t="s">
        <v>76</v>
      </c>
      <c r="J353" t="s">
        <v>77</v>
      </c>
      <c r="K353" t="s">
        <v>78</v>
      </c>
      <c r="L353" t="s">
        <v>94</v>
      </c>
      <c r="M353" t="s">
        <v>95</v>
      </c>
      <c r="N353" t="s">
        <v>936</v>
      </c>
      <c r="O353" t="s">
        <v>89</v>
      </c>
      <c r="P353" t="str">
        <f>"4170071596                    "</f>
        <v xml:space="preserve">4170071596                    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v>0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44.66</v>
      </c>
      <c r="AR353">
        <v>0</v>
      </c>
      <c r="AS353">
        <v>0</v>
      </c>
      <c r="AT353">
        <v>0</v>
      </c>
      <c r="AU353">
        <v>0</v>
      </c>
      <c r="AV353">
        <v>0</v>
      </c>
      <c r="AW353">
        <v>0</v>
      </c>
      <c r="AX353">
        <v>0</v>
      </c>
      <c r="AY353">
        <v>0</v>
      </c>
      <c r="AZ353">
        <v>0</v>
      </c>
      <c r="BA353">
        <v>0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1</v>
      </c>
      <c r="BI353">
        <v>1</v>
      </c>
      <c r="BJ353">
        <v>3.1</v>
      </c>
      <c r="BK353">
        <v>3.5</v>
      </c>
      <c r="BL353">
        <v>133.09</v>
      </c>
      <c r="BM353">
        <v>19.96</v>
      </c>
      <c r="BN353">
        <v>153.05000000000001</v>
      </c>
      <c r="BO353">
        <v>153.05000000000001</v>
      </c>
      <c r="BQ353" t="s">
        <v>937</v>
      </c>
      <c r="BR353" t="s">
        <v>82</v>
      </c>
      <c r="BS353" s="3">
        <v>45995</v>
      </c>
      <c r="BT353" s="4">
        <v>0.43680555555555556</v>
      </c>
      <c r="BU353" t="s">
        <v>938</v>
      </c>
      <c r="BV353" t="s">
        <v>84</v>
      </c>
      <c r="BY353">
        <v>15360</v>
      </c>
      <c r="CA353" t="s">
        <v>939</v>
      </c>
      <c r="CC353" t="s">
        <v>95</v>
      </c>
      <c r="CD353">
        <v>3610</v>
      </c>
      <c r="CE353" t="s">
        <v>86</v>
      </c>
      <c r="CF353" s="3">
        <v>45995</v>
      </c>
      <c r="CI353">
        <v>1</v>
      </c>
      <c r="CJ353">
        <v>1</v>
      </c>
      <c r="CK353">
        <v>21</v>
      </c>
      <c r="CL353" t="s">
        <v>87</v>
      </c>
    </row>
    <row r="354" spans="1:90" x14ac:dyDescent="0.3">
      <c r="A354" t="s">
        <v>72</v>
      </c>
      <c r="B354" t="s">
        <v>73</v>
      </c>
      <c r="C354" t="s">
        <v>74</v>
      </c>
      <c r="E354" t="str">
        <f>"080069647846"</f>
        <v>080069647846</v>
      </c>
      <c r="F354" s="3">
        <v>45994</v>
      </c>
      <c r="G354">
        <v>202609</v>
      </c>
      <c r="H354" t="s">
        <v>75</v>
      </c>
      <c r="I354" t="s">
        <v>76</v>
      </c>
      <c r="J354" t="s">
        <v>77</v>
      </c>
      <c r="K354" t="s">
        <v>78</v>
      </c>
      <c r="L354" t="s">
        <v>141</v>
      </c>
      <c r="M354" t="s">
        <v>142</v>
      </c>
      <c r="N354" t="s">
        <v>675</v>
      </c>
      <c r="O354" t="s">
        <v>89</v>
      </c>
      <c r="P354" t="str">
        <f>"4170071558                    "</f>
        <v xml:space="preserve">4170071558                    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0</v>
      </c>
      <c r="AH354">
        <v>0</v>
      </c>
      <c r="AI354">
        <v>0</v>
      </c>
      <c r="AJ354">
        <v>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44.66</v>
      </c>
      <c r="AR354">
        <v>0</v>
      </c>
      <c r="AS354">
        <v>0</v>
      </c>
      <c r="AT354">
        <v>0</v>
      </c>
      <c r="AU354">
        <v>0</v>
      </c>
      <c r="AV354">
        <v>0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2</v>
      </c>
      <c r="BI354">
        <v>3</v>
      </c>
      <c r="BJ354">
        <v>3.4</v>
      </c>
      <c r="BK354">
        <v>3.5</v>
      </c>
      <c r="BL354">
        <v>133.09</v>
      </c>
      <c r="BM354">
        <v>19.96</v>
      </c>
      <c r="BN354">
        <v>153.05000000000001</v>
      </c>
      <c r="BO354">
        <v>153.05000000000001</v>
      </c>
      <c r="BQ354" t="s">
        <v>676</v>
      </c>
      <c r="BR354" t="s">
        <v>82</v>
      </c>
      <c r="BS354" s="3">
        <v>45995</v>
      </c>
      <c r="BT354" s="4">
        <v>0.42916666666666664</v>
      </c>
      <c r="BU354" t="s">
        <v>993</v>
      </c>
      <c r="BV354" t="s">
        <v>84</v>
      </c>
      <c r="BY354">
        <v>17140</v>
      </c>
      <c r="BZ354" t="s">
        <v>271</v>
      </c>
      <c r="CA354" t="s">
        <v>146</v>
      </c>
      <c r="CC354" t="s">
        <v>142</v>
      </c>
      <c r="CD354">
        <v>6001</v>
      </c>
      <c r="CE354" t="s">
        <v>147</v>
      </c>
      <c r="CF354" s="3">
        <v>45995</v>
      </c>
      <c r="CI354">
        <v>1</v>
      </c>
      <c r="CJ354">
        <v>1</v>
      </c>
      <c r="CK354">
        <v>21</v>
      </c>
      <c r="CL354" t="s">
        <v>87</v>
      </c>
    </row>
    <row r="355" spans="1:90" x14ac:dyDescent="0.3">
      <c r="A355" t="s">
        <v>72</v>
      </c>
      <c r="B355" t="s">
        <v>73</v>
      </c>
      <c r="C355" t="s">
        <v>74</v>
      </c>
      <c r="E355" t="str">
        <f>"080069647871"</f>
        <v>080069647871</v>
      </c>
      <c r="F355" s="3">
        <v>45994</v>
      </c>
      <c r="G355">
        <v>202609</v>
      </c>
      <c r="H355" t="s">
        <v>75</v>
      </c>
      <c r="I355" t="s">
        <v>76</v>
      </c>
      <c r="J355" t="s">
        <v>77</v>
      </c>
      <c r="K355" t="s">
        <v>78</v>
      </c>
      <c r="L355" t="s">
        <v>528</v>
      </c>
      <c r="M355" t="s">
        <v>529</v>
      </c>
      <c r="N355" t="s">
        <v>530</v>
      </c>
      <c r="O355" t="s">
        <v>80</v>
      </c>
      <c r="P355" t="str">
        <f>"4170071591                    "</f>
        <v xml:space="preserve">4170071591                    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0</v>
      </c>
      <c r="AJ355">
        <v>0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69.61</v>
      </c>
      <c r="AR355">
        <v>0</v>
      </c>
      <c r="AS355">
        <v>0</v>
      </c>
      <c r="AT355">
        <v>0</v>
      </c>
      <c r="AU355">
        <v>0</v>
      </c>
      <c r="AV355">
        <v>0</v>
      </c>
      <c r="AW355">
        <v>17.41</v>
      </c>
      <c r="AX355">
        <v>0</v>
      </c>
      <c r="AY355">
        <v>0</v>
      </c>
      <c r="AZ355">
        <v>0</v>
      </c>
      <c r="BA355">
        <v>0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1</v>
      </c>
      <c r="BI355">
        <v>4</v>
      </c>
      <c r="BJ355">
        <v>0.7</v>
      </c>
      <c r="BK355">
        <v>4</v>
      </c>
      <c r="BL355">
        <v>230.97</v>
      </c>
      <c r="BM355">
        <v>34.65</v>
      </c>
      <c r="BN355">
        <v>265.62</v>
      </c>
      <c r="BO355">
        <v>265.62</v>
      </c>
      <c r="BQ355" t="s">
        <v>531</v>
      </c>
      <c r="BR355" t="s">
        <v>82</v>
      </c>
      <c r="BS355" s="3">
        <v>45995</v>
      </c>
      <c r="BT355" s="4">
        <v>0.54583333333333328</v>
      </c>
      <c r="BU355" t="s">
        <v>994</v>
      </c>
      <c r="BV355" t="s">
        <v>84</v>
      </c>
      <c r="BY355">
        <v>3306</v>
      </c>
      <c r="BZ355" t="s">
        <v>30</v>
      </c>
      <c r="CC355" t="s">
        <v>529</v>
      </c>
      <c r="CD355" s="5" t="s">
        <v>534</v>
      </c>
      <c r="CE355" t="s">
        <v>86</v>
      </c>
      <c r="CF355" s="3">
        <v>45996</v>
      </c>
      <c r="CI355">
        <v>1</v>
      </c>
      <c r="CJ355">
        <v>1</v>
      </c>
      <c r="CK355">
        <v>43</v>
      </c>
      <c r="CL355" t="s">
        <v>87</v>
      </c>
    </row>
    <row r="356" spans="1:90" x14ac:dyDescent="0.3">
      <c r="A356" t="s">
        <v>72</v>
      </c>
      <c r="B356" t="s">
        <v>73</v>
      </c>
      <c r="C356" t="s">
        <v>74</v>
      </c>
      <c r="E356" t="str">
        <f>"080069648072"</f>
        <v>080069648072</v>
      </c>
      <c r="F356" s="3">
        <v>45994</v>
      </c>
      <c r="G356">
        <v>202609</v>
      </c>
      <c r="H356" t="s">
        <v>75</v>
      </c>
      <c r="I356" t="s">
        <v>76</v>
      </c>
      <c r="J356" t="s">
        <v>77</v>
      </c>
      <c r="K356" t="s">
        <v>78</v>
      </c>
      <c r="L356" t="s">
        <v>156</v>
      </c>
      <c r="M356" t="s">
        <v>157</v>
      </c>
      <c r="N356" t="s">
        <v>665</v>
      </c>
      <c r="O356" t="s">
        <v>89</v>
      </c>
      <c r="P356" t="str">
        <f>"4170071612                    "</f>
        <v xml:space="preserve">4170071612                    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0</v>
      </c>
      <c r="AJ356">
        <v>0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25.52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0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1</v>
      </c>
      <c r="BI356">
        <v>1</v>
      </c>
      <c r="BJ356">
        <v>0.2</v>
      </c>
      <c r="BK356">
        <v>1</v>
      </c>
      <c r="BL356">
        <v>76.06</v>
      </c>
      <c r="BM356">
        <v>11.41</v>
      </c>
      <c r="BN356">
        <v>87.47</v>
      </c>
      <c r="BO356">
        <v>87.47</v>
      </c>
      <c r="BQ356" t="s">
        <v>666</v>
      </c>
      <c r="BR356" t="s">
        <v>82</v>
      </c>
      <c r="BS356" s="3">
        <v>45995</v>
      </c>
      <c r="BT356" s="4">
        <v>0.61805555555555558</v>
      </c>
      <c r="BU356" t="s">
        <v>995</v>
      </c>
      <c r="BV356" t="s">
        <v>87</v>
      </c>
      <c r="BW356" t="s">
        <v>153</v>
      </c>
      <c r="BX356" t="s">
        <v>996</v>
      </c>
      <c r="BY356">
        <v>1200</v>
      </c>
      <c r="CA356" t="s">
        <v>997</v>
      </c>
      <c r="CC356" t="s">
        <v>157</v>
      </c>
      <c r="CD356">
        <v>7550</v>
      </c>
      <c r="CE356" t="s">
        <v>134</v>
      </c>
      <c r="CF356" s="3">
        <v>45996</v>
      </c>
      <c r="CI356">
        <v>1</v>
      </c>
      <c r="CJ356">
        <v>1</v>
      </c>
      <c r="CK356">
        <v>21</v>
      </c>
      <c r="CL356" t="s">
        <v>87</v>
      </c>
    </row>
    <row r="357" spans="1:90" x14ac:dyDescent="0.3">
      <c r="A357" t="s">
        <v>72</v>
      </c>
      <c r="B357" t="s">
        <v>73</v>
      </c>
      <c r="C357" t="s">
        <v>74</v>
      </c>
      <c r="E357" t="str">
        <f>"080069648095"</f>
        <v>080069648095</v>
      </c>
      <c r="F357" s="3">
        <v>45994</v>
      </c>
      <c r="G357">
        <v>202609</v>
      </c>
      <c r="H357" t="s">
        <v>75</v>
      </c>
      <c r="I357" t="s">
        <v>76</v>
      </c>
      <c r="J357" t="s">
        <v>77</v>
      </c>
      <c r="K357" t="s">
        <v>78</v>
      </c>
      <c r="L357" t="s">
        <v>156</v>
      </c>
      <c r="M357" t="s">
        <v>157</v>
      </c>
      <c r="N357" t="s">
        <v>749</v>
      </c>
      <c r="O357" t="s">
        <v>89</v>
      </c>
      <c r="P357" t="str">
        <f>"4170071602                    "</f>
        <v xml:space="preserve">4170071602                    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0</v>
      </c>
      <c r="AJ357">
        <v>0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25.52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0</v>
      </c>
      <c r="AX357">
        <v>0</v>
      </c>
      <c r="AY357">
        <v>0</v>
      </c>
      <c r="AZ357">
        <v>0</v>
      </c>
      <c r="BA357">
        <v>0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1</v>
      </c>
      <c r="BI357">
        <v>1</v>
      </c>
      <c r="BJ357">
        <v>0.2</v>
      </c>
      <c r="BK357">
        <v>1</v>
      </c>
      <c r="BL357">
        <v>76.06</v>
      </c>
      <c r="BM357">
        <v>11.41</v>
      </c>
      <c r="BN357">
        <v>87.47</v>
      </c>
      <c r="BO357">
        <v>87.47</v>
      </c>
      <c r="BQ357" t="s">
        <v>750</v>
      </c>
      <c r="BR357" t="s">
        <v>82</v>
      </c>
      <c r="BS357" s="3">
        <v>45995</v>
      </c>
      <c r="BT357" s="4">
        <v>0.38194444444444442</v>
      </c>
      <c r="BU357" t="s">
        <v>998</v>
      </c>
      <c r="BV357" t="s">
        <v>84</v>
      </c>
      <c r="BY357">
        <v>1200</v>
      </c>
      <c r="BZ357" t="s">
        <v>271</v>
      </c>
      <c r="CA357" t="s">
        <v>264</v>
      </c>
      <c r="CC357" t="s">
        <v>157</v>
      </c>
      <c r="CD357">
        <v>8001</v>
      </c>
      <c r="CE357" t="s">
        <v>127</v>
      </c>
      <c r="CF357" s="3">
        <v>45996</v>
      </c>
      <c r="CI357">
        <v>1</v>
      </c>
      <c r="CJ357">
        <v>1</v>
      </c>
      <c r="CK357">
        <v>21</v>
      </c>
      <c r="CL357" t="s">
        <v>87</v>
      </c>
    </row>
    <row r="358" spans="1:90" x14ac:dyDescent="0.3">
      <c r="A358" t="s">
        <v>72</v>
      </c>
      <c r="B358" t="s">
        <v>73</v>
      </c>
      <c r="C358" t="s">
        <v>74</v>
      </c>
      <c r="E358" t="str">
        <f>"080069648114"</f>
        <v>080069648114</v>
      </c>
      <c r="F358" s="3">
        <v>45994</v>
      </c>
      <c r="G358">
        <v>202609</v>
      </c>
      <c r="H358" t="s">
        <v>75</v>
      </c>
      <c r="I358" t="s">
        <v>76</v>
      </c>
      <c r="J358" t="s">
        <v>77</v>
      </c>
      <c r="K358" t="s">
        <v>78</v>
      </c>
      <c r="L358" t="s">
        <v>156</v>
      </c>
      <c r="M358" t="s">
        <v>157</v>
      </c>
      <c r="N358" t="s">
        <v>434</v>
      </c>
      <c r="O358" t="s">
        <v>89</v>
      </c>
      <c r="P358" t="str">
        <f>"4170071547                    "</f>
        <v xml:space="preserve">4170071547                    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0</v>
      </c>
      <c r="AH358">
        <v>0</v>
      </c>
      <c r="AI358">
        <v>0</v>
      </c>
      <c r="AJ358">
        <v>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25.52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1</v>
      </c>
      <c r="BI358">
        <v>1</v>
      </c>
      <c r="BJ358">
        <v>0.2</v>
      </c>
      <c r="BK358">
        <v>1</v>
      </c>
      <c r="BL358">
        <v>76.06</v>
      </c>
      <c r="BM358">
        <v>11.41</v>
      </c>
      <c r="BN358">
        <v>87.47</v>
      </c>
      <c r="BO358">
        <v>87.47</v>
      </c>
      <c r="BQ358" t="s">
        <v>435</v>
      </c>
      <c r="BR358" t="s">
        <v>82</v>
      </c>
      <c r="BS358" s="3">
        <v>45995</v>
      </c>
      <c r="BT358" s="4">
        <v>0.37916666666666665</v>
      </c>
      <c r="BU358" t="s">
        <v>999</v>
      </c>
      <c r="BV358" t="s">
        <v>84</v>
      </c>
      <c r="BY358">
        <v>1200</v>
      </c>
      <c r="BZ358" t="s">
        <v>271</v>
      </c>
      <c r="CA358" t="s">
        <v>264</v>
      </c>
      <c r="CC358" t="s">
        <v>157</v>
      </c>
      <c r="CD358">
        <v>7441</v>
      </c>
      <c r="CE358" t="s">
        <v>127</v>
      </c>
      <c r="CF358" s="3">
        <v>45996</v>
      </c>
      <c r="CI358">
        <v>1</v>
      </c>
      <c r="CJ358">
        <v>1</v>
      </c>
      <c r="CK358">
        <v>21</v>
      </c>
      <c r="CL358" t="s">
        <v>87</v>
      </c>
    </row>
    <row r="359" spans="1:90" x14ac:dyDescent="0.3">
      <c r="A359" t="s">
        <v>72</v>
      </c>
      <c r="B359" t="s">
        <v>73</v>
      </c>
      <c r="C359" t="s">
        <v>74</v>
      </c>
      <c r="E359" t="str">
        <f>"080069648131"</f>
        <v>080069648131</v>
      </c>
      <c r="F359" s="3">
        <v>45994</v>
      </c>
      <c r="G359">
        <v>202609</v>
      </c>
      <c r="H359" t="s">
        <v>75</v>
      </c>
      <c r="I359" t="s">
        <v>76</v>
      </c>
      <c r="J359" t="s">
        <v>77</v>
      </c>
      <c r="K359" t="s">
        <v>78</v>
      </c>
      <c r="L359" t="s">
        <v>141</v>
      </c>
      <c r="M359" t="s">
        <v>142</v>
      </c>
      <c r="N359" t="s">
        <v>486</v>
      </c>
      <c r="O359" t="s">
        <v>89</v>
      </c>
      <c r="P359" t="str">
        <f>"4170071622                    "</f>
        <v xml:space="preserve">4170071622                    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25.52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1</v>
      </c>
      <c r="BI359">
        <v>1</v>
      </c>
      <c r="BJ359">
        <v>0.2</v>
      </c>
      <c r="BK359">
        <v>1</v>
      </c>
      <c r="BL359">
        <v>76.06</v>
      </c>
      <c r="BM359">
        <v>11.41</v>
      </c>
      <c r="BN359">
        <v>87.47</v>
      </c>
      <c r="BO359">
        <v>87.47</v>
      </c>
      <c r="BQ359" t="s">
        <v>487</v>
      </c>
      <c r="BR359" t="s">
        <v>82</v>
      </c>
      <c r="BS359" s="3">
        <v>45995</v>
      </c>
      <c r="BT359" s="4">
        <v>0.41180555555555554</v>
      </c>
      <c r="BU359" t="s">
        <v>1000</v>
      </c>
      <c r="BV359" t="s">
        <v>84</v>
      </c>
      <c r="BY359">
        <v>1200</v>
      </c>
      <c r="BZ359" t="s">
        <v>271</v>
      </c>
      <c r="CA359" t="s">
        <v>489</v>
      </c>
      <c r="CC359" t="s">
        <v>142</v>
      </c>
      <c r="CD359">
        <v>6012</v>
      </c>
      <c r="CE359" t="s">
        <v>127</v>
      </c>
      <c r="CF359" s="3">
        <v>45995</v>
      </c>
      <c r="CI359">
        <v>1</v>
      </c>
      <c r="CJ359">
        <v>1</v>
      </c>
      <c r="CK359">
        <v>21</v>
      </c>
      <c r="CL359" t="s">
        <v>87</v>
      </c>
    </row>
    <row r="360" spans="1:90" x14ac:dyDescent="0.3">
      <c r="A360" t="s">
        <v>72</v>
      </c>
      <c r="B360" t="s">
        <v>73</v>
      </c>
      <c r="C360" t="s">
        <v>74</v>
      </c>
      <c r="E360" t="str">
        <f>"080069648148"</f>
        <v>080069648148</v>
      </c>
      <c r="F360" s="3">
        <v>45994</v>
      </c>
      <c r="G360">
        <v>202609</v>
      </c>
      <c r="H360" t="s">
        <v>75</v>
      </c>
      <c r="I360" t="s">
        <v>76</v>
      </c>
      <c r="J360" t="s">
        <v>77</v>
      </c>
      <c r="K360" t="s">
        <v>78</v>
      </c>
      <c r="L360" t="s">
        <v>94</v>
      </c>
      <c r="M360" t="s">
        <v>95</v>
      </c>
      <c r="N360" t="s">
        <v>230</v>
      </c>
      <c r="O360" t="s">
        <v>89</v>
      </c>
      <c r="P360" t="str">
        <f>"4170071594                    "</f>
        <v xml:space="preserve">4170071594                    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0</v>
      </c>
      <c r="AJ360">
        <v>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57.41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0</v>
      </c>
      <c r="AX360">
        <v>0</v>
      </c>
      <c r="AY360">
        <v>0</v>
      </c>
      <c r="AZ360">
        <v>0</v>
      </c>
      <c r="BA360">
        <v>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1</v>
      </c>
      <c r="BI360">
        <v>4</v>
      </c>
      <c r="BJ360">
        <v>4.0999999999999996</v>
      </c>
      <c r="BK360">
        <v>4.5</v>
      </c>
      <c r="BL360">
        <v>171.1</v>
      </c>
      <c r="BM360">
        <v>25.67</v>
      </c>
      <c r="BN360">
        <v>196.77</v>
      </c>
      <c r="BO360">
        <v>196.77</v>
      </c>
      <c r="BQ360" t="s">
        <v>231</v>
      </c>
      <c r="BR360" t="s">
        <v>82</v>
      </c>
      <c r="BS360" s="3">
        <v>45995</v>
      </c>
      <c r="BT360" s="4">
        <v>0.40763888888888888</v>
      </c>
      <c r="BU360" t="s">
        <v>1001</v>
      </c>
      <c r="BV360" t="s">
        <v>84</v>
      </c>
      <c r="BY360">
        <v>20358</v>
      </c>
      <c r="CA360" t="s">
        <v>99</v>
      </c>
      <c r="CC360" t="s">
        <v>95</v>
      </c>
      <c r="CD360">
        <v>3608</v>
      </c>
      <c r="CE360" t="s">
        <v>86</v>
      </c>
      <c r="CF360" s="3">
        <v>45995</v>
      </c>
      <c r="CI360">
        <v>1</v>
      </c>
      <c r="CJ360">
        <v>1</v>
      </c>
      <c r="CK360">
        <v>21</v>
      </c>
      <c r="CL360" t="s">
        <v>87</v>
      </c>
    </row>
    <row r="361" spans="1:90" x14ac:dyDescent="0.3">
      <c r="A361" t="s">
        <v>72</v>
      </c>
      <c r="B361" t="s">
        <v>73</v>
      </c>
      <c r="C361" t="s">
        <v>74</v>
      </c>
      <c r="E361" t="str">
        <f>"080069648166"</f>
        <v>080069648166</v>
      </c>
      <c r="F361" s="3">
        <v>45994</v>
      </c>
      <c r="G361">
        <v>202609</v>
      </c>
      <c r="H361" t="s">
        <v>75</v>
      </c>
      <c r="I361" t="s">
        <v>76</v>
      </c>
      <c r="J361" t="s">
        <v>77</v>
      </c>
      <c r="K361" t="s">
        <v>78</v>
      </c>
      <c r="L361" t="s">
        <v>1002</v>
      </c>
      <c r="M361" t="s">
        <v>1003</v>
      </c>
      <c r="N361" t="s">
        <v>1004</v>
      </c>
      <c r="O361" t="s">
        <v>89</v>
      </c>
      <c r="P361" t="str">
        <f>"4170071628                    "</f>
        <v xml:space="preserve">4170071628                    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0</v>
      </c>
      <c r="AJ361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49.45</v>
      </c>
      <c r="AR361">
        <v>0</v>
      </c>
      <c r="AS361">
        <v>0</v>
      </c>
      <c r="AT361">
        <v>0</v>
      </c>
      <c r="AU361">
        <v>0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1</v>
      </c>
      <c r="BI361">
        <v>1</v>
      </c>
      <c r="BJ361">
        <v>0.9</v>
      </c>
      <c r="BK361">
        <v>1</v>
      </c>
      <c r="BL361">
        <v>147.38</v>
      </c>
      <c r="BM361">
        <v>22.11</v>
      </c>
      <c r="BN361">
        <v>169.49</v>
      </c>
      <c r="BO361">
        <v>169.49</v>
      </c>
      <c r="BQ361" t="s">
        <v>1005</v>
      </c>
      <c r="BR361" t="s">
        <v>82</v>
      </c>
      <c r="BS361" s="3">
        <v>45995</v>
      </c>
      <c r="BT361" s="4">
        <v>0.5756944444444444</v>
      </c>
      <c r="BU361" t="s">
        <v>1006</v>
      </c>
      <c r="BV361" t="s">
        <v>84</v>
      </c>
      <c r="BY361">
        <v>4275</v>
      </c>
      <c r="CA361" t="s">
        <v>1007</v>
      </c>
      <c r="CC361" t="s">
        <v>1003</v>
      </c>
      <c r="CD361">
        <v>4449</v>
      </c>
      <c r="CE361" t="s">
        <v>86</v>
      </c>
      <c r="CF361" s="3">
        <v>45996</v>
      </c>
      <c r="CI361">
        <v>1</v>
      </c>
      <c r="CJ361">
        <v>1</v>
      </c>
      <c r="CK361">
        <v>23</v>
      </c>
      <c r="CL361" t="s">
        <v>87</v>
      </c>
    </row>
    <row r="362" spans="1:90" x14ac:dyDescent="0.3">
      <c r="A362" t="s">
        <v>72</v>
      </c>
      <c r="B362" t="s">
        <v>73</v>
      </c>
      <c r="C362" t="s">
        <v>74</v>
      </c>
      <c r="E362" t="str">
        <f>"080069648206"</f>
        <v>080069648206</v>
      </c>
      <c r="F362" s="3">
        <v>45994</v>
      </c>
      <c r="G362">
        <v>202609</v>
      </c>
      <c r="H362" t="s">
        <v>75</v>
      </c>
      <c r="I362" t="s">
        <v>76</v>
      </c>
      <c r="J362" t="s">
        <v>77</v>
      </c>
      <c r="K362" t="s">
        <v>78</v>
      </c>
      <c r="L362" t="s">
        <v>156</v>
      </c>
      <c r="M362" t="s">
        <v>157</v>
      </c>
      <c r="N362" t="s">
        <v>470</v>
      </c>
      <c r="O362" t="s">
        <v>89</v>
      </c>
      <c r="P362" t="str">
        <f>"4170071588                    "</f>
        <v xml:space="preserve">4170071588                    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0</v>
      </c>
      <c r="AI362">
        <v>0</v>
      </c>
      <c r="AJ362">
        <v>0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25.52</v>
      </c>
      <c r="AR362">
        <v>0</v>
      </c>
      <c r="AS362">
        <v>0</v>
      </c>
      <c r="AT362">
        <v>0</v>
      </c>
      <c r="AU362">
        <v>0</v>
      </c>
      <c r="AV362">
        <v>0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1</v>
      </c>
      <c r="BI362">
        <v>2</v>
      </c>
      <c r="BJ362">
        <v>1.9</v>
      </c>
      <c r="BK362">
        <v>2</v>
      </c>
      <c r="BL362">
        <v>76.06</v>
      </c>
      <c r="BM362">
        <v>11.41</v>
      </c>
      <c r="BN362">
        <v>87.47</v>
      </c>
      <c r="BO362">
        <v>87.47</v>
      </c>
      <c r="BQ362" t="s">
        <v>471</v>
      </c>
      <c r="BR362" t="s">
        <v>82</v>
      </c>
      <c r="BS362" s="3">
        <v>45995</v>
      </c>
      <c r="BT362" s="4">
        <v>0.41944444444444445</v>
      </c>
      <c r="BU362" t="s">
        <v>1008</v>
      </c>
      <c r="BV362" t="s">
        <v>84</v>
      </c>
      <c r="BY362">
        <v>9576</v>
      </c>
      <c r="CA362" t="s">
        <v>1009</v>
      </c>
      <c r="CC362" t="s">
        <v>157</v>
      </c>
      <c r="CD362">
        <v>7480</v>
      </c>
      <c r="CE362" t="s">
        <v>86</v>
      </c>
      <c r="CF362" s="3">
        <v>45996</v>
      </c>
      <c r="CI362">
        <v>1</v>
      </c>
      <c r="CJ362">
        <v>1</v>
      </c>
      <c r="CK362">
        <v>21</v>
      </c>
      <c r="CL362" t="s">
        <v>87</v>
      </c>
    </row>
    <row r="363" spans="1:90" x14ac:dyDescent="0.3">
      <c r="A363" t="s">
        <v>72</v>
      </c>
      <c r="B363" t="s">
        <v>73</v>
      </c>
      <c r="C363" t="s">
        <v>74</v>
      </c>
      <c r="E363" t="str">
        <f>"080069648281"</f>
        <v>080069648281</v>
      </c>
      <c r="F363" s="3">
        <v>45994</v>
      </c>
      <c r="G363">
        <v>202609</v>
      </c>
      <c r="H363" t="s">
        <v>75</v>
      </c>
      <c r="I363" t="s">
        <v>76</v>
      </c>
      <c r="J363" t="s">
        <v>77</v>
      </c>
      <c r="K363" t="s">
        <v>78</v>
      </c>
      <c r="L363" t="s">
        <v>189</v>
      </c>
      <c r="M363" t="s">
        <v>190</v>
      </c>
      <c r="N363" t="s">
        <v>191</v>
      </c>
      <c r="O363" t="s">
        <v>89</v>
      </c>
      <c r="P363" t="str">
        <f>"4170071574                    "</f>
        <v xml:space="preserve">4170071574                    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0</v>
      </c>
      <c r="AJ363">
        <v>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25.52</v>
      </c>
      <c r="AR363">
        <v>0</v>
      </c>
      <c r="AS363">
        <v>0</v>
      </c>
      <c r="AT363">
        <v>0</v>
      </c>
      <c r="AU363">
        <v>0</v>
      </c>
      <c r="AV363">
        <v>0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1</v>
      </c>
      <c r="BI363">
        <v>1.7</v>
      </c>
      <c r="BJ363">
        <v>1.7</v>
      </c>
      <c r="BK363">
        <v>2</v>
      </c>
      <c r="BL363">
        <v>76.06</v>
      </c>
      <c r="BM363">
        <v>11.41</v>
      </c>
      <c r="BN363">
        <v>87.47</v>
      </c>
      <c r="BO363">
        <v>87.47</v>
      </c>
      <c r="BQ363" t="s">
        <v>192</v>
      </c>
      <c r="BR363" t="s">
        <v>82</v>
      </c>
      <c r="BS363" s="3">
        <v>45996</v>
      </c>
      <c r="BT363" s="4">
        <v>0.42152777777777778</v>
      </c>
      <c r="BU363" t="s">
        <v>464</v>
      </c>
      <c r="BV363" t="s">
        <v>87</v>
      </c>
      <c r="BY363">
        <v>8279.85</v>
      </c>
      <c r="CA363" t="s">
        <v>194</v>
      </c>
      <c r="CC363" t="s">
        <v>190</v>
      </c>
      <c r="CD363">
        <v>3201</v>
      </c>
      <c r="CE363" t="s">
        <v>86</v>
      </c>
      <c r="CF363" s="3">
        <v>45997</v>
      </c>
      <c r="CI363">
        <v>1</v>
      </c>
      <c r="CJ363">
        <v>2</v>
      </c>
      <c r="CK363">
        <v>21</v>
      </c>
      <c r="CL363" t="s">
        <v>87</v>
      </c>
    </row>
    <row r="364" spans="1:90" x14ac:dyDescent="0.3">
      <c r="A364" t="s">
        <v>72</v>
      </c>
      <c r="B364" t="s">
        <v>73</v>
      </c>
      <c r="C364" t="s">
        <v>74</v>
      </c>
      <c r="E364" t="str">
        <f>"080069648367"</f>
        <v>080069648367</v>
      </c>
      <c r="F364" s="3">
        <v>45994</v>
      </c>
      <c r="G364">
        <v>202609</v>
      </c>
      <c r="H364" t="s">
        <v>75</v>
      </c>
      <c r="I364" t="s">
        <v>76</v>
      </c>
      <c r="J364" t="s">
        <v>77</v>
      </c>
      <c r="K364" t="s">
        <v>78</v>
      </c>
      <c r="L364" t="s">
        <v>515</v>
      </c>
      <c r="M364" t="s">
        <v>516</v>
      </c>
      <c r="N364" t="s">
        <v>517</v>
      </c>
      <c r="O364" t="s">
        <v>89</v>
      </c>
      <c r="P364" t="str">
        <f>"4170071586                    "</f>
        <v xml:space="preserve">4170071586                    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0</v>
      </c>
      <c r="AJ364">
        <v>0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105.28</v>
      </c>
      <c r="AR364">
        <v>0</v>
      </c>
      <c r="AS364">
        <v>0</v>
      </c>
      <c r="AT364">
        <v>0</v>
      </c>
      <c r="AU364">
        <v>0</v>
      </c>
      <c r="AV364">
        <v>0</v>
      </c>
      <c r="AW364">
        <v>0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1</v>
      </c>
      <c r="BI364">
        <v>2</v>
      </c>
      <c r="BJ364">
        <v>4.0999999999999996</v>
      </c>
      <c r="BK364">
        <v>4.5</v>
      </c>
      <c r="BL364">
        <v>313.76</v>
      </c>
      <c r="BM364">
        <v>47.06</v>
      </c>
      <c r="BN364">
        <v>360.82</v>
      </c>
      <c r="BO364">
        <v>360.82</v>
      </c>
      <c r="BQ364" t="s">
        <v>518</v>
      </c>
      <c r="BR364" t="s">
        <v>82</v>
      </c>
      <c r="BS364" s="3">
        <v>45996</v>
      </c>
      <c r="BT364" s="4">
        <v>0.65625</v>
      </c>
      <c r="BU364" t="s">
        <v>948</v>
      </c>
      <c r="BV364" t="s">
        <v>84</v>
      </c>
      <c r="BY364">
        <v>20358</v>
      </c>
      <c r="CA364" t="s">
        <v>146</v>
      </c>
      <c r="CC364" t="s">
        <v>516</v>
      </c>
      <c r="CD364">
        <v>6300</v>
      </c>
      <c r="CE364" t="s">
        <v>86</v>
      </c>
      <c r="CF364" s="3">
        <v>45999</v>
      </c>
      <c r="CI364">
        <v>2</v>
      </c>
      <c r="CJ364">
        <v>2</v>
      </c>
      <c r="CK364">
        <v>23</v>
      </c>
      <c r="CL364" t="s">
        <v>87</v>
      </c>
    </row>
    <row r="365" spans="1:90" x14ac:dyDescent="0.3">
      <c r="A365" t="s">
        <v>72</v>
      </c>
      <c r="B365" t="s">
        <v>73</v>
      </c>
      <c r="C365" t="s">
        <v>74</v>
      </c>
      <c r="E365" t="str">
        <f>"080069648428"</f>
        <v>080069648428</v>
      </c>
      <c r="F365" s="3">
        <v>45994</v>
      </c>
      <c r="G365">
        <v>202609</v>
      </c>
      <c r="H365" t="s">
        <v>75</v>
      </c>
      <c r="I365" t="s">
        <v>76</v>
      </c>
      <c r="J365" t="s">
        <v>77</v>
      </c>
      <c r="K365" t="s">
        <v>78</v>
      </c>
      <c r="L365" t="s">
        <v>141</v>
      </c>
      <c r="M365" t="s">
        <v>142</v>
      </c>
      <c r="N365" t="s">
        <v>618</v>
      </c>
      <c r="O365" t="s">
        <v>89</v>
      </c>
      <c r="P365" t="str">
        <f>"4170071627                    "</f>
        <v xml:space="preserve">4170071627                    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H365">
        <v>0</v>
      </c>
      <c r="AI365">
        <v>0</v>
      </c>
      <c r="AJ365">
        <v>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63.79</v>
      </c>
      <c r="AR365">
        <v>0</v>
      </c>
      <c r="AS365">
        <v>0</v>
      </c>
      <c r="AT365">
        <v>0</v>
      </c>
      <c r="AU365">
        <v>0</v>
      </c>
      <c r="AV365">
        <v>0</v>
      </c>
      <c r="AW365">
        <v>0</v>
      </c>
      <c r="AX365">
        <v>0</v>
      </c>
      <c r="AY365">
        <v>0</v>
      </c>
      <c r="AZ365">
        <v>0</v>
      </c>
      <c r="BA365">
        <v>0</v>
      </c>
      <c r="BB365">
        <v>0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1</v>
      </c>
      <c r="BI365">
        <v>5</v>
      </c>
      <c r="BJ365">
        <v>1.9</v>
      </c>
      <c r="BK365">
        <v>5</v>
      </c>
      <c r="BL365">
        <v>190.11</v>
      </c>
      <c r="BM365">
        <v>28.52</v>
      </c>
      <c r="BN365">
        <v>218.63</v>
      </c>
      <c r="BO365">
        <v>218.63</v>
      </c>
      <c r="BQ365" t="s">
        <v>619</v>
      </c>
      <c r="BR365" t="s">
        <v>82</v>
      </c>
      <c r="BS365" s="3">
        <v>45995</v>
      </c>
      <c r="BT365" s="4">
        <v>0.40277777777777779</v>
      </c>
      <c r="BU365" t="s">
        <v>620</v>
      </c>
      <c r="BV365" t="s">
        <v>84</v>
      </c>
      <c r="BY365">
        <v>9576</v>
      </c>
      <c r="CA365" t="s">
        <v>277</v>
      </c>
      <c r="CC365" t="s">
        <v>142</v>
      </c>
      <c r="CD365">
        <v>6001</v>
      </c>
      <c r="CE365" t="s">
        <v>86</v>
      </c>
      <c r="CF365" s="3">
        <v>45995</v>
      </c>
      <c r="CI365">
        <v>1</v>
      </c>
      <c r="CJ365">
        <v>1</v>
      </c>
      <c r="CK365">
        <v>21</v>
      </c>
      <c r="CL365" t="s">
        <v>87</v>
      </c>
    </row>
    <row r="366" spans="1:90" x14ac:dyDescent="0.3">
      <c r="A366" t="s">
        <v>72</v>
      </c>
      <c r="B366" t="s">
        <v>73</v>
      </c>
      <c r="C366" t="s">
        <v>74</v>
      </c>
      <c r="E366" t="str">
        <f>"080069648448"</f>
        <v>080069648448</v>
      </c>
      <c r="F366" s="3">
        <v>45994</v>
      </c>
      <c r="G366">
        <v>202609</v>
      </c>
      <c r="H366" t="s">
        <v>75</v>
      </c>
      <c r="I366" t="s">
        <v>76</v>
      </c>
      <c r="J366" t="s">
        <v>77</v>
      </c>
      <c r="K366" t="s">
        <v>78</v>
      </c>
      <c r="L366" t="s">
        <v>389</v>
      </c>
      <c r="M366" t="s">
        <v>390</v>
      </c>
      <c r="N366" t="s">
        <v>1010</v>
      </c>
      <c r="O366" t="s">
        <v>89</v>
      </c>
      <c r="P366" t="str">
        <f>"4170071575                    "</f>
        <v xml:space="preserve">4170071575                    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0</v>
      </c>
      <c r="AH366">
        <v>0</v>
      </c>
      <c r="AI366">
        <v>0</v>
      </c>
      <c r="AJ366">
        <v>0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49.45</v>
      </c>
      <c r="AR366">
        <v>0</v>
      </c>
      <c r="AS366">
        <v>0</v>
      </c>
      <c r="AT366">
        <v>0</v>
      </c>
      <c r="AU366">
        <v>0</v>
      </c>
      <c r="AV366">
        <v>0</v>
      </c>
      <c r="AW366">
        <v>0</v>
      </c>
      <c r="AX366">
        <v>0</v>
      </c>
      <c r="AY366">
        <v>0</v>
      </c>
      <c r="AZ366">
        <v>0</v>
      </c>
      <c r="BA366">
        <v>0</v>
      </c>
      <c r="BB366">
        <v>0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1</v>
      </c>
      <c r="BI366">
        <v>1</v>
      </c>
      <c r="BJ366">
        <v>1.1000000000000001</v>
      </c>
      <c r="BK366">
        <v>1.5</v>
      </c>
      <c r="BL366">
        <v>147.38</v>
      </c>
      <c r="BM366">
        <v>22.11</v>
      </c>
      <c r="BN366">
        <v>169.49</v>
      </c>
      <c r="BO366">
        <v>169.49</v>
      </c>
      <c r="BQ366" t="s">
        <v>1011</v>
      </c>
      <c r="BR366" t="s">
        <v>82</v>
      </c>
      <c r="BS366" s="3">
        <v>45995</v>
      </c>
      <c r="BT366" s="4">
        <v>0.42569444444444443</v>
      </c>
      <c r="BU366" t="s">
        <v>1012</v>
      </c>
      <c r="BV366" t="s">
        <v>84</v>
      </c>
      <c r="BY366">
        <v>5320</v>
      </c>
      <c r="CA366">
        <v>7601035402088</v>
      </c>
      <c r="CC366" t="s">
        <v>390</v>
      </c>
      <c r="CD366" s="5" t="s">
        <v>395</v>
      </c>
      <c r="CE366" t="s">
        <v>86</v>
      </c>
      <c r="CF366" s="3">
        <v>45996</v>
      </c>
      <c r="CI366">
        <v>1</v>
      </c>
      <c r="CJ366">
        <v>1</v>
      </c>
      <c r="CK366">
        <v>23</v>
      </c>
      <c r="CL366" t="s">
        <v>87</v>
      </c>
    </row>
    <row r="367" spans="1:90" x14ac:dyDescent="0.3">
      <c r="A367" t="s">
        <v>72</v>
      </c>
      <c r="B367" t="s">
        <v>73</v>
      </c>
      <c r="C367" t="s">
        <v>74</v>
      </c>
      <c r="E367" t="str">
        <f>"080069648708"</f>
        <v>080069648708</v>
      </c>
      <c r="F367" s="3">
        <v>45994</v>
      </c>
      <c r="G367">
        <v>202609</v>
      </c>
      <c r="H367" t="s">
        <v>75</v>
      </c>
      <c r="I367" t="s">
        <v>76</v>
      </c>
      <c r="J367" t="s">
        <v>77</v>
      </c>
      <c r="K367" t="s">
        <v>78</v>
      </c>
      <c r="L367" t="s">
        <v>465</v>
      </c>
      <c r="M367" t="s">
        <v>466</v>
      </c>
      <c r="N367" t="s">
        <v>738</v>
      </c>
      <c r="O367" t="s">
        <v>89</v>
      </c>
      <c r="P367" t="str">
        <f>"4170071624                    "</f>
        <v xml:space="preserve">4170071624                    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0</v>
      </c>
      <c r="AJ367">
        <v>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19.940000000000001</v>
      </c>
      <c r="AR367">
        <v>0</v>
      </c>
      <c r="AS367">
        <v>0</v>
      </c>
      <c r="AT367">
        <v>0</v>
      </c>
      <c r="AU367">
        <v>0</v>
      </c>
      <c r="AV367">
        <v>0</v>
      </c>
      <c r="AW367">
        <v>0</v>
      </c>
      <c r="AX367">
        <v>0</v>
      </c>
      <c r="AY367">
        <v>0</v>
      </c>
      <c r="AZ367">
        <v>0</v>
      </c>
      <c r="BA367">
        <v>0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1</v>
      </c>
      <c r="BI367">
        <v>0.2</v>
      </c>
      <c r="BJ367">
        <v>0.9</v>
      </c>
      <c r="BK367">
        <v>1</v>
      </c>
      <c r="BL367">
        <v>59.42</v>
      </c>
      <c r="BM367">
        <v>8.91</v>
      </c>
      <c r="BN367">
        <v>68.33</v>
      </c>
      <c r="BO367">
        <v>68.33</v>
      </c>
      <c r="BQ367" t="s">
        <v>739</v>
      </c>
      <c r="BR367" t="s">
        <v>82</v>
      </c>
      <c r="BS367" s="3">
        <v>45995</v>
      </c>
      <c r="BT367" s="4">
        <v>0.40972222222222221</v>
      </c>
      <c r="BU367" t="s">
        <v>1013</v>
      </c>
      <c r="BV367" t="s">
        <v>84</v>
      </c>
      <c r="BY367">
        <v>4396.8</v>
      </c>
      <c r="CA367" t="s">
        <v>727</v>
      </c>
      <c r="CC367" t="s">
        <v>466</v>
      </c>
      <c r="CD367">
        <v>1428</v>
      </c>
      <c r="CE367" t="s">
        <v>134</v>
      </c>
      <c r="CF367" s="3">
        <v>45996</v>
      </c>
      <c r="CI367">
        <v>1</v>
      </c>
      <c r="CJ367">
        <v>1</v>
      </c>
      <c r="CK367">
        <v>22</v>
      </c>
      <c r="CL367" t="s">
        <v>87</v>
      </c>
    </row>
    <row r="368" spans="1:90" x14ac:dyDescent="0.3">
      <c r="A368" t="s">
        <v>72</v>
      </c>
      <c r="B368" t="s">
        <v>73</v>
      </c>
      <c r="C368" t="s">
        <v>74</v>
      </c>
      <c r="E368" t="str">
        <f>"080069648728"</f>
        <v>080069648728</v>
      </c>
      <c r="F368" s="3">
        <v>45994</v>
      </c>
      <c r="G368">
        <v>202609</v>
      </c>
      <c r="H368" t="s">
        <v>75</v>
      </c>
      <c r="I368" t="s">
        <v>76</v>
      </c>
      <c r="J368" t="s">
        <v>77</v>
      </c>
      <c r="K368" t="s">
        <v>78</v>
      </c>
      <c r="L368" t="s">
        <v>109</v>
      </c>
      <c r="M368" t="s">
        <v>110</v>
      </c>
      <c r="N368" t="s">
        <v>887</v>
      </c>
      <c r="O368" t="s">
        <v>89</v>
      </c>
      <c r="P368" t="str">
        <f>"4170071561                    "</f>
        <v xml:space="preserve">4170071561                    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0</v>
      </c>
      <c r="AJ368"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35.9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0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1</v>
      </c>
      <c r="BI368">
        <v>0.2</v>
      </c>
      <c r="BJ368">
        <v>1.7</v>
      </c>
      <c r="BK368">
        <v>2</v>
      </c>
      <c r="BL368">
        <v>106.98</v>
      </c>
      <c r="BM368">
        <v>16.05</v>
      </c>
      <c r="BN368">
        <v>123.03</v>
      </c>
      <c r="BO368">
        <v>123.03</v>
      </c>
      <c r="BQ368" t="s">
        <v>888</v>
      </c>
      <c r="BR368" t="s">
        <v>82</v>
      </c>
      <c r="BS368" s="3">
        <v>45996</v>
      </c>
      <c r="BT368" s="4">
        <v>0.62222222222222223</v>
      </c>
      <c r="BU368" t="s">
        <v>1014</v>
      </c>
      <c r="BV368" t="s">
        <v>87</v>
      </c>
      <c r="BW368" t="s">
        <v>174</v>
      </c>
      <c r="BX368" t="s">
        <v>640</v>
      </c>
      <c r="BY368">
        <v>8533.2800000000007</v>
      </c>
      <c r="CC368" t="s">
        <v>110</v>
      </c>
      <c r="CD368">
        <v>1754</v>
      </c>
      <c r="CE368" t="s">
        <v>134</v>
      </c>
      <c r="CF368" s="3">
        <v>45997</v>
      </c>
      <c r="CI368">
        <v>1</v>
      </c>
      <c r="CJ368">
        <v>2</v>
      </c>
      <c r="CK368">
        <v>24</v>
      </c>
      <c r="CL368" t="s">
        <v>87</v>
      </c>
    </row>
    <row r="369" spans="1:90" x14ac:dyDescent="0.3">
      <c r="A369" t="s">
        <v>72</v>
      </c>
      <c r="B369" t="s">
        <v>73</v>
      </c>
      <c r="C369" t="s">
        <v>74</v>
      </c>
      <c r="E369" t="str">
        <f>"080069648744"</f>
        <v>080069648744</v>
      </c>
      <c r="F369" s="3">
        <v>45994</v>
      </c>
      <c r="G369">
        <v>202609</v>
      </c>
      <c r="H369" t="s">
        <v>75</v>
      </c>
      <c r="I369" t="s">
        <v>76</v>
      </c>
      <c r="J369" t="s">
        <v>77</v>
      </c>
      <c r="K369" t="s">
        <v>78</v>
      </c>
      <c r="L369" t="s">
        <v>141</v>
      </c>
      <c r="M369" t="s">
        <v>142</v>
      </c>
      <c r="N369" t="s">
        <v>637</v>
      </c>
      <c r="O369" t="s">
        <v>89</v>
      </c>
      <c r="P369" t="str">
        <f>"4170071625                    "</f>
        <v xml:space="preserve">4170071625                    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0</v>
      </c>
      <c r="AJ369">
        <v>0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25.52</v>
      </c>
      <c r="AR369">
        <v>0</v>
      </c>
      <c r="AS369">
        <v>0</v>
      </c>
      <c r="AT369">
        <v>0</v>
      </c>
      <c r="AU369">
        <v>0</v>
      </c>
      <c r="AV369">
        <v>0</v>
      </c>
      <c r="AW369">
        <v>0</v>
      </c>
      <c r="AX369">
        <v>0</v>
      </c>
      <c r="AY369">
        <v>0</v>
      </c>
      <c r="AZ369">
        <v>0</v>
      </c>
      <c r="BA369">
        <v>0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1</v>
      </c>
      <c r="BI369">
        <v>1</v>
      </c>
      <c r="BJ369">
        <v>0.2</v>
      </c>
      <c r="BK369">
        <v>1</v>
      </c>
      <c r="BL369">
        <v>76.06</v>
      </c>
      <c r="BM369">
        <v>11.41</v>
      </c>
      <c r="BN369">
        <v>87.47</v>
      </c>
      <c r="BO369">
        <v>87.47</v>
      </c>
      <c r="BQ369" t="s">
        <v>638</v>
      </c>
      <c r="BR369" t="s">
        <v>82</v>
      </c>
      <c r="BS369" s="3">
        <v>45995</v>
      </c>
      <c r="BT369" s="4">
        <v>0.37986111111111109</v>
      </c>
      <c r="BU369" t="s">
        <v>223</v>
      </c>
      <c r="BV369" t="s">
        <v>84</v>
      </c>
      <c r="BY369">
        <v>1200</v>
      </c>
      <c r="BZ369" t="s">
        <v>271</v>
      </c>
      <c r="CA369" t="s">
        <v>224</v>
      </c>
      <c r="CC369" t="s">
        <v>142</v>
      </c>
      <c r="CD369">
        <v>6001</v>
      </c>
      <c r="CE369" t="s">
        <v>127</v>
      </c>
      <c r="CF369" s="3">
        <v>45995</v>
      </c>
      <c r="CI369">
        <v>1</v>
      </c>
      <c r="CJ369">
        <v>1</v>
      </c>
      <c r="CK369">
        <v>21</v>
      </c>
      <c r="CL369" t="s">
        <v>87</v>
      </c>
    </row>
    <row r="370" spans="1:90" x14ac:dyDescent="0.3">
      <c r="A370" t="s">
        <v>72</v>
      </c>
      <c r="B370" t="s">
        <v>73</v>
      </c>
      <c r="C370" t="s">
        <v>74</v>
      </c>
      <c r="E370" t="str">
        <f>"080069648774"</f>
        <v>080069648774</v>
      </c>
      <c r="F370" s="3">
        <v>45994</v>
      </c>
      <c r="G370">
        <v>202609</v>
      </c>
      <c r="H370" t="s">
        <v>75</v>
      </c>
      <c r="I370" t="s">
        <v>76</v>
      </c>
      <c r="J370" t="s">
        <v>77</v>
      </c>
      <c r="K370" t="s">
        <v>78</v>
      </c>
      <c r="L370" t="s">
        <v>458</v>
      </c>
      <c r="M370" t="s">
        <v>459</v>
      </c>
      <c r="N370" t="s">
        <v>460</v>
      </c>
      <c r="O370" t="s">
        <v>89</v>
      </c>
      <c r="P370" t="str">
        <f>"4170071576                    "</f>
        <v xml:space="preserve">4170071576                    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0</v>
      </c>
      <c r="AJ370">
        <v>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82.95</v>
      </c>
      <c r="AR370">
        <v>0</v>
      </c>
      <c r="AS370">
        <v>0</v>
      </c>
      <c r="AT370">
        <v>0</v>
      </c>
      <c r="AU370">
        <v>0</v>
      </c>
      <c r="AV370">
        <v>0</v>
      </c>
      <c r="AW370">
        <v>0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1</v>
      </c>
      <c r="BI370">
        <v>2</v>
      </c>
      <c r="BJ370">
        <v>3.1</v>
      </c>
      <c r="BK370">
        <v>3.5</v>
      </c>
      <c r="BL370">
        <v>247.21</v>
      </c>
      <c r="BM370">
        <v>37.08</v>
      </c>
      <c r="BN370">
        <v>284.29000000000002</v>
      </c>
      <c r="BO370">
        <v>284.29000000000002</v>
      </c>
      <c r="BQ370" t="s">
        <v>461</v>
      </c>
      <c r="BR370" t="s">
        <v>82</v>
      </c>
      <c r="BS370" s="3">
        <v>45995</v>
      </c>
      <c r="BT370" s="4">
        <v>0.53333333333333333</v>
      </c>
      <c r="BU370" t="s">
        <v>462</v>
      </c>
      <c r="BV370" t="s">
        <v>84</v>
      </c>
      <c r="BY370">
        <v>15360</v>
      </c>
      <c r="CA370" t="s">
        <v>463</v>
      </c>
      <c r="CC370" t="s">
        <v>459</v>
      </c>
      <c r="CD370">
        <v>7130</v>
      </c>
      <c r="CE370" t="s">
        <v>86</v>
      </c>
      <c r="CF370" s="3">
        <v>45996</v>
      </c>
      <c r="CI370">
        <v>1</v>
      </c>
      <c r="CJ370">
        <v>1</v>
      </c>
      <c r="CK370">
        <v>23</v>
      </c>
      <c r="CL370" t="s">
        <v>87</v>
      </c>
    </row>
    <row r="371" spans="1:90" x14ac:dyDescent="0.3">
      <c r="A371" t="s">
        <v>72</v>
      </c>
      <c r="B371" t="s">
        <v>73</v>
      </c>
      <c r="C371" t="s">
        <v>74</v>
      </c>
      <c r="E371" t="str">
        <f>"080069648798"</f>
        <v>080069648798</v>
      </c>
      <c r="F371" s="3">
        <v>45994</v>
      </c>
      <c r="G371">
        <v>202609</v>
      </c>
      <c r="H371" t="s">
        <v>75</v>
      </c>
      <c r="I371" t="s">
        <v>76</v>
      </c>
      <c r="J371" t="s">
        <v>77</v>
      </c>
      <c r="K371" t="s">
        <v>78</v>
      </c>
      <c r="L371" t="s">
        <v>94</v>
      </c>
      <c r="M371" t="s">
        <v>95</v>
      </c>
      <c r="N371" t="s">
        <v>96</v>
      </c>
      <c r="O371" t="s">
        <v>89</v>
      </c>
      <c r="P371" t="str">
        <f>"4170071581                    "</f>
        <v xml:space="preserve">4170071581                    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0</v>
      </c>
      <c r="AI371">
        <v>0</v>
      </c>
      <c r="AJ371">
        <v>0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44.66</v>
      </c>
      <c r="AR371">
        <v>0</v>
      </c>
      <c r="AS371">
        <v>0</v>
      </c>
      <c r="AT371">
        <v>0</v>
      </c>
      <c r="AU371">
        <v>0</v>
      </c>
      <c r="AV371">
        <v>0</v>
      </c>
      <c r="AW371">
        <v>0</v>
      </c>
      <c r="AX371">
        <v>0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1</v>
      </c>
      <c r="BI371">
        <v>1.8</v>
      </c>
      <c r="BJ371">
        <v>3.1</v>
      </c>
      <c r="BK371">
        <v>3.5</v>
      </c>
      <c r="BL371">
        <v>133.09</v>
      </c>
      <c r="BM371">
        <v>19.96</v>
      </c>
      <c r="BN371">
        <v>153.05000000000001</v>
      </c>
      <c r="BO371">
        <v>153.05000000000001</v>
      </c>
      <c r="BQ371" t="s">
        <v>1015</v>
      </c>
      <c r="BR371" t="s">
        <v>82</v>
      </c>
      <c r="BS371" s="3">
        <v>45995</v>
      </c>
      <c r="BT371" s="4">
        <v>0.38472222222222224</v>
      </c>
      <c r="BU371" t="s">
        <v>1001</v>
      </c>
      <c r="BV371" t="s">
        <v>84</v>
      </c>
      <c r="BY371">
        <v>15543.36</v>
      </c>
      <c r="CA371" t="s">
        <v>99</v>
      </c>
      <c r="CC371" t="s">
        <v>95</v>
      </c>
      <c r="CD371">
        <v>3610</v>
      </c>
      <c r="CE371" t="s">
        <v>86</v>
      </c>
      <c r="CF371" s="3">
        <v>45995</v>
      </c>
      <c r="CI371">
        <v>1</v>
      </c>
      <c r="CJ371">
        <v>1</v>
      </c>
      <c r="CK371">
        <v>21</v>
      </c>
      <c r="CL371" t="s">
        <v>87</v>
      </c>
    </row>
    <row r="372" spans="1:90" x14ac:dyDescent="0.3">
      <c r="A372" t="s">
        <v>72</v>
      </c>
      <c r="B372" t="s">
        <v>73</v>
      </c>
      <c r="C372" t="s">
        <v>74</v>
      </c>
      <c r="E372" t="str">
        <f>"080069648818"</f>
        <v>080069648818</v>
      </c>
      <c r="F372" s="3">
        <v>45994</v>
      </c>
      <c r="G372">
        <v>202609</v>
      </c>
      <c r="H372" t="s">
        <v>75</v>
      </c>
      <c r="I372" t="s">
        <v>76</v>
      </c>
      <c r="J372" t="s">
        <v>77</v>
      </c>
      <c r="K372" t="s">
        <v>78</v>
      </c>
      <c r="L372" t="s">
        <v>141</v>
      </c>
      <c r="M372" t="s">
        <v>142</v>
      </c>
      <c r="N372" t="s">
        <v>951</v>
      </c>
      <c r="O372" t="s">
        <v>89</v>
      </c>
      <c r="P372" t="str">
        <f>"4170071626                    "</f>
        <v xml:space="preserve">4170071626                    </v>
      </c>
      <c r="Q372">
        <v>0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0</v>
      </c>
      <c r="AH372">
        <v>0</v>
      </c>
      <c r="AI372">
        <v>0</v>
      </c>
      <c r="AJ372">
        <v>0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38.28</v>
      </c>
      <c r="AR372">
        <v>0</v>
      </c>
      <c r="AS372">
        <v>0</v>
      </c>
      <c r="AT372">
        <v>0</v>
      </c>
      <c r="AU372">
        <v>0</v>
      </c>
      <c r="AV372">
        <v>0</v>
      </c>
      <c r="AW372">
        <v>0</v>
      </c>
      <c r="AX372">
        <v>0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1</v>
      </c>
      <c r="BI372">
        <v>3</v>
      </c>
      <c r="BJ372">
        <v>1.8</v>
      </c>
      <c r="BK372">
        <v>3</v>
      </c>
      <c r="BL372">
        <v>114.08</v>
      </c>
      <c r="BM372">
        <v>17.11</v>
      </c>
      <c r="BN372">
        <v>131.19</v>
      </c>
      <c r="BO372">
        <v>131.19</v>
      </c>
      <c r="BQ372" t="s">
        <v>952</v>
      </c>
      <c r="BR372" t="s">
        <v>82</v>
      </c>
      <c r="BS372" s="3">
        <v>45995</v>
      </c>
      <c r="BT372" s="4">
        <v>0.37916666666666665</v>
      </c>
      <c r="BU372" t="s">
        <v>953</v>
      </c>
      <c r="BV372" t="s">
        <v>84</v>
      </c>
      <c r="BY372">
        <v>8816</v>
      </c>
      <c r="BZ372" t="s">
        <v>271</v>
      </c>
      <c r="CA372" t="s">
        <v>327</v>
      </c>
      <c r="CC372" t="s">
        <v>142</v>
      </c>
      <c r="CD372">
        <v>6000</v>
      </c>
      <c r="CE372" t="s">
        <v>147</v>
      </c>
      <c r="CF372" s="3">
        <v>45995</v>
      </c>
      <c r="CI372">
        <v>1</v>
      </c>
      <c r="CJ372">
        <v>1</v>
      </c>
      <c r="CK372">
        <v>21</v>
      </c>
      <c r="CL372" t="s">
        <v>87</v>
      </c>
    </row>
    <row r="373" spans="1:90" x14ac:dyDescent="0.3">
      <c r="A373" t="s">
        <v>72</v>
      </c>
      <c r="B373" t="s">
        <v>73</v>
      </c>
      <c r="C373" t="s">
        <v>74</v>
      </c>
      <c r="E373" t="str">
        <f>"080069648834"</f>
        <v>080069648834</v>
      </c>
      <c r="F373" s="3">
        <v>45994</v>
      </c>
      <c r="G373">
        <v>202609</v>
      </c>
      <c r="H373" t="s">
        <v>75</v>
      </c>
      <c r="I373" t="s">
        <v>76</v>
      </c>
      <c r="J373" t="s">
        <v>77</v>
      </c>
      <c r="K373" t="s">
        <v>78</v>
      </c>
      <c r="L373" t="s">
        <v>189</v>
      </c>
      <c r="M373" t="s">
        <v>190</v>
      </c>
      <c r="N373" t="s">
        <v>1016</v>
      </c>
      <c r="O373" t="s">
        <v>89</v>
      </c>
      <c r="P373" t="str">
        <f>"4170071630                    "</f>
        <v xml:space="preserve">4170071630                    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0</v>
      </c>
      <c r="AJ373">
        <v>0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25.52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0</v>
      </c>
      <c r="AX373">
        <v>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1</v>
      </c>
      <c r="BI373">
        <v>2</v>
      </c>
      <c r="BJ373">
        <v>1.1000000000000001</v>
      </c>
      <c r="BK373">
        <v>2</v>
      </c>
      <c r="BL373">
        <v>76.06</v>
      </c>
      <c r="BM373">
        <v>11.41</v>
      </c>
      <c r="BN373">
        <v>87.47</v>
      </c>
      <c r="BO373">
        <v>87.47</v>
      </c>
      <c r="BQ373" t="s">
        <v>1017</v>
      </c>
      <c r="BR373" t="s">
        <v>82</v>
      </c>
      <c r="BS373" s="3">
        <v>45996</v>
      </c>
      <c r="BT373" s="4">
        <v>0.4513888888888889</v>
      </c>
      <c r="BU373" t="s">
        <v>1018</v>
      </c>
      <c r="BV373" t="s">
        <v>87</v>
      </c>
      <c r="BY373">
        <v>5510</v>
      </c>
      <c r="CC373" t="s">
        <v>190</v>
      </c>
      <c r="CD373">
        <v>3201</v>
      </c>
      <c r="CE373" t="s">
        <v>86</v>
      </c>
      <c r="CF373" s="3">
        <v>45997</v>
      </c>
      <c r="CI373">
        <v>1</v>
      </c>
      <c r="CJ373">
        <v>2</v>
      </c>
      <c r="CK373">
        <v>21</v>
      </c>
      <c r="CL373" t="s">
        <v>87</v>
      </c>
    </row>
    <row r="374" spans="1:90" x14ac:dyDescent="0.3">
      <c r="A374" t="s">
        <v>72</v>
      </c>
      <c r="B374" t="s">
        <v>73</v>
      </c>
      <c r="C374" t="s">
        <v>74</v>
      </c>
      <c r="E374" t="str">
        <f>"080069648862"</f>
        <v>080069648862</v>
      </c>
      <c r="F374" s="3">
        <v>45994</v>
      </c>
      <c r="G374">
        <v>202609</v>
      </c>
      <c r="H374" t="s">
        <v>75</v>
      </c>
      <c r="I374" t="s">
        <v>76</v>
      </c>
      <c r="J374" t="s">
        <v>77</v>
      </c>
      <c r="K374" t="s">
        <v>78</v>
      </c>
      <c r="L374" t="s">
        <v>128</v>
      </c>
      <c r="M374" t="s">
        <v>129</v>
      </c>
      <c r="N374" t="s">
        <v>183</v>
      </c>
      <c r="O374" t="s">
        <v>89</v>
      </c>
      <c r="P374" t="str">
        <f>"4170071609                    "</f>
        <v xml:space="preserve">4170071609                    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>
        <v>0</v>
      </c>
      <c r="AG374">
        <v>0</v>
      </c>
      <c r="AH374">
        <v>0</v>
      </c>
      <c r="AI374">
        <v>0</v>
      </c>
      <c r="AJ374">
        <v>0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51.04</v>
      </c>
      <c r="AR374">
        <v>0</v>
      </c>
      <c r="AS374">
        <v>0</v>
      </c>
      <c r="AT374">
        <v>0</v>
      </c>
      <c r="AU374">
        <v>0</v>
      </c>
      <c r="AV374">
        <v>0</v>
      </c>
      <c r="AW374">
        <v>0</v>
      </c>
      <c r="AX374">
        <v>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1</v>
      </c>
      <c r="BI374">
        <v>4</v>
      </c>
      <c r="BJ374">
        <v>2</v>
      </c>
      <c r="BK374">
        <v>4</v>
      </c>
      <c r="BL374">
        <v>152.1</v>
      </c>
      <c r="BM374">
        <v>22.82</v>
      </c>
      <c r="BN374">
        <v>174.92</v>
      </c>
      <c r="BO374">
        <v>174.92</v>
      </c>
      <c r="BQ374" t="s">
        <v>184</v>
      </c>
      <c r="BR374" t="s">
        <v>82</v>
      </c>
      <c r="BS374" s="3">
        <v>45995</v>
      </c>
      <c r="BT374" s="4">
        <v>0.56388888888888888</v>
      </c>
      <c r="BU374" t="s">
        <v>1019</v>
      </c>
      <c r="BV374" t="s">
        <v>87</v>
      </c>
      <c r="BW374" t="s">
        <v>186</v>
      </c>
      <c r="BX374" t="s">
        <v>187</v>
      </c>
      <c r="BY374">
        <v>9802</v>
      </c>
      <c r="CA374" t="s">
        <v>188</v>
      </c>
      <c r="CC374" t="s">
        <v>129</v>
      </c>
      <c r="CD374">
        <v>5201</v>
      </c>
      <c r="CE374" t="s">
        <v>93</v>
      </c>
      <c r="CF374" s="3">
        <v>45996</v>
      </c>
      <c r="CI374">
        <v>1</v>
      </c>
      <c r="CJ374">
        <v>1</v>
      </c>
      <c r="CK374">
        <v>21</v>
      </c>
      <c r="CL374" t="s">
        <v>87</v>
      </c>
    </row>
    <row r="375" spans="1:90" x14ac:dyDescent="0.3">
      <c r="A375" t="s">
        <v>72</v>
      </c>
      <c r="B375" t="s">
        <v>73</v>
      </c>
      <c r="C375" t="s">
        <v>74</v>
      </c>
      <c r="E375" t="str">
        <f>"080069648885"</f>
        <v>080069648885</v>
      </c>
      <c r="F375" s="3">
        <v>45994</v>
      </c>
      <c r="G375">
        <v>202609</v>
      </c>
      <c r="H375" t="s">
        <v>75</v>
      </c>
      <c r="I375" t="s">
        <v>76</v>
      </c>
      <c r="J375" t="s">
        <v>77</v>
      </c>
      <c r="K375" t="s">
        <v>78</v>
      </c>
      <c r="L375" t="s">
        <v>465</v>
      </c>
      <c r="M375" t="s">
        <v>466</v>
      </c>
      <c r="N375" t="s">
        <v>1020</v>
      </c>
      <c r="O375" t="s">
        <v>89</v>
      </c>
      <c r="P375" t="str">
        <f>"4170071562                    "</f>
        <v xml:space="preserve">4170071562                    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  <c r="AJ375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19.940000000000001</v>
      </c>
      <c r="AR375">
        <v>0</v>
      </c>
      <c r="AS375">
        <v>0</v>
      </c>
      <c r="AT375">
        <v>0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1</v>
      </c>
      <c r="BI375">
        <v>2</v>
      </c>
      <c r="BJ375">
        <v>1.2</v>
      </c>
      <c r="BK375">
        <v>2</v>
      </c>
      <c r="BL375">
        <v>59.42</v>
      </c>
      <c r="BM375">
        <v>8.91</v>
      </c>
      <c r="BN375">
        <v>68.33</v>
      </c>
      <c r="BO375">
        <v>68.33</v>
      </c>
      <c r="BQ375" t="s">
        <v>1021</v>
      </c>
      <c r="BR375" t="s">
        <v>82</v>
      </c>
      <c r="BS375" s="3">
        <v>45995</v>
      </c>
      <c r="BT375" s="4">
        <v>0.60416666666666663</v>
      </c>
      <c r="BU375" t="s">
        <v>1022</v>
      </c>
      <c r="BV375" t="s">
        <v>87</v>
      </c>
      <c r="BW375" t="s">
        <v>186</v>
      </c>
      <c r="BX375" t="s">
        <v>955</v>
      </c>
      <c r="BY375">
        <v>6084</v>
      </c>
      <c r="CC375" t="s">
        <v>466</v>
      </c>
      <c r="CD375">
        <v>1401</v>
      </c>
      <c r="CE375" t="s">
        <v>93</v>
      </c>
      <c r="CF375" s="3">
        <v>45996</v>
      </c>
      <c r="CI375">
        <v>1</v>
      </c>
      <c r="CJ375">
        <v>1</v>
      </c>
      <c r="CK375">
        <v>22</v>
      </c>
      <c r="CL375" t="s">
        <v>87</v>
      </c>
    </row>
    <row r="376" spans="1:90" x14ac:dyDescent="0.3">
      <c r="A376" t="s">
        <v>72</v>
      </c>
      <c r="B376" t="s">
        <v>73</v>
      </c>
      <c r="C376" t="s">
        <v>74</v>
      </c>
      <c r="E376" t="str">
        <f>"080069648906"</f>
        <v>080069648906</v>
      </c>
      <c r="F376" s="3">
        <v>45994</v>
      </c>
      <c r="G376">
        <v>202609</v>
      </c>
      <c r="H376" t="s">
        <v>75</v>
      </c>
      <c r="I376" t="s">
        <v>76</v>
      </c>
      <c r="J376" t="s">
        <v>77</v>
      </c>
      <c r="K376" t="s">
        <v>78</v>
      </c>
      <c r="L376" t="s">
        <v>366</v>
      </c>
      <c r="M376" t="s">
        <v>367</v>
      </c>
      <c r="N376" t="s">
        <v>1023</v>
      </c>
      <c r="O376" t="s">
        <v>340</v>
      </c>
      <c r="P376" t="str">
        <f>"4170071621                    "</f>
        <v xml:space="preserve">4170071621                    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0</v>
      </c>
      <c r="AG376">
        <v>0</v>
      </c>
      <c r="AH376">
        <v>0</v>
      </c>
      <c r="AI376">
        <v>0</v>
      </c>
      <c r="AJ376">
        <v>0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101.31</v>
      </c>
      <c r="AR376">
        <v>0</v>
      </c>
      <c r="AS376">
        <v>0</v>
      </c>
      <c r="AT376">
        <v>0</v>
      </c>
      <c r="AU376">
        <v>0</v>
      </c>
      <c r="AV376">
        <v>0</v>
      </c>
      <c r="AW376">
        <v>0</v>
      </c>
      <c r="AX376">
        <v>0</v>
      </c>
      <c r="AY376">
        <v>0</v>
      </c>
      <c r="AZ376">
        <v>0</v>
      </c>
      <c r="BA376">
        <v>0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1</v>
      </c>
      <c r="BI376">
        <v>4</v>
      </c>
      <c r="BJ376">
        <v>2.8</v>
      </c>
      <c r="BK376">
        <v>4</v>
      </c>
      <c r="BL376">
        <v>301.92</v>
      </c>
      <c r="BM376">
        <v>45.29</v>
      </c>
      <c r="BN376">
        <v>347.21</v>
      </c>
      <c r="BO376">
        <v>347.21</v>
      </c>
      <c r="BQ376" t="s">
        <v>1024</v>
      </c>
      <c r="BR376" t="s">
        <v>82</v>
      </c>
      <c r="BS376" s="3">
        <v>45995</v>
      </c>
      <c r="BT376" s="4">
        <v>0.41666666666666669</v>
      </c>
      <c r="BU376" t="s">
        <v>1025</v>
      </c>
      <c r="BV376" t="s">
        <v>84</v>
      </c>
      <c r="BY376">
        <v>14040</v>
      </c>
      <c r="CA376">
        <v>8511035270088</v>
      </c>
      <c r="CC376" t="s">
        <v>367</v>
      </c>
      <c r="CD376">
        <v>1939</v>
      </c>
      <c r="CE376" t="s">
        <v>93</v>
      </c>
      <c r="CF376" s="3">
        <v>45996</v>
      </c>
      <c r="CI376">
        <v>1</v>
      </c>
      <c r="CJ376">
        <v>1</v>
      </c>
      <c r="CK376">
        <v>33</v>
      </c>
      <c r="CL376" t="s">
        <v>87</v>
      </c>
    </row>
    <row r="377" spans="1:90" x14ac:dyDescent="0.3">
      <c r="A377" t="s">
        <v>72</v>
      </c>
      <c r="B377" t="s">
        <v>73</v>
      </c>
      <c r="C377" t="s">
        <v>74</v>
      </c>
      <c r="E377" t="str">
        <f>"080069649051"</f>
        <v>080069649051</v>
      </c>
      <c r="F377" s="3">
        <v>45994</v>
      </c>
      <c r="G377">
        <v>202609</v>
      </c>
      <c r="H377" t="s">
        <v>75</v>
      </c>
      <c r="I377" t="s">
        <v>76</v>
      </c>
      <c r="J377" t="s">
        <v>77</v>
      </c>
      <c r="K377" t="s">
        <v>78</v>
      </c>
      <c r="L377" t="s">
        <v>156</v>
      </c>
      <c r="M377" t="s">
        <v>157</v>
      </c>
      <c r="N377" t="s">
        <v>1026</v>
      </c>
      <c r="O377" t="s">
        <v>89</v>
      </c>
      <c r="P377" t="str">
        <f>"4170071730                    "</f>
        <v xml:space="preserve">4170071730                    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G377">
        <v>0</v>
      </c>
      <c r="AH377">
        <v>0</v>
      </c>
      <c r="AI377">
        <v>0</v>
      </c>
      <c r="AJ377">
        <v>0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57.41</v>
      </c>
      <c r="AR377">
        <v>0</v>
      </c>
      <c r="AS377">
        <v>0</v>
      </c>
      <c r="AT377">
        <v>0</v>
      </c>
      <c r="AU377">
        <v>0</v>
      </c>
      <c r="AV377">
        <v>0</v>
      </c>
      <c r="AW377">
        <v>0</v>
      </c>
      <c r="AX377">
        <v>0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1</v>
      </c>
      <c r="BI377">
        <v>2</v>
      </c>
      <c r="BJ377">
        <v>4.0999999999999996</v>
      </c>
      <c r="BK377">
        <v>4.5</v>
      </c>
      <c r="BL377">
        <v>171.1</v>
      </c>
      <c r="BM377">
        <v>25.67</v>
      </c>
      <c r="BN377">
        <v>196.77</v>
      </c>
      <c r="BO377">
        <v>196.77</v>
      </c>
      <c r="BQ377" t="s">
        <v>1027</v>
      </c>
      <c r="BR377" t="s">
        <v>82</v>
      </c>
      <c r="BS377" s="3">
        <v>45995</v>
      </c>
      <c r="BT377" s="4">
        <v>0.39305555555555555</v>
      </c>
      <c r="BU377" t="s">
        <v>1028</v>
      </c>
      <c r="BV377" t="s">
        <v>84</v>
      </c>
      <c r="BY377">
        <v>20358</v>
      </c>
      <c r="CA377" t="s">
        <v>1029</v>
      </c>
      <c r="CC377" t="s">
        <v>157</v>
      </c>
      <c r="CD377">
        <v>7925</v>
      </c>
      <c r="CE377" t="s">
        <v>86</v>
      </c>
      <c r="CF377" s="3">
        <v>45996</v>
      </c>
      <c r="CI377">
        <v>1</v>
      </c>
      <c r="CJ377">
        <v>1</v>
      </c>
      <c r="CK377">
        <v>21</v>
      </c>
      <c r="CL377" t="s">
        <v>87</v>
      </c>
    </row>
    <row r="378" spans="1:90" x14ac:dyDescent="0.3">
      <c r="A378" t="s">
        <v>72</v>
      </c>
      <c r="B378" t="s">
        <v>73</v>
      </c>
      <c r="C378" t="s">
        <v>74</v>
      </c>
      <c r="E378" t="str">
        <f>"080069649822"</f>
        <v>080069649822</v>
      </c>
      <c r="F378" s="3">
        <v>45994</v>
      </c>
      <c r="G378">
        <v>202609</v>
      </c>
      <c r="H378" t="s">
        <v>75</v>
      </c>
      <c r="I378" t="s">
        <v>76</v>
      </c>
      <c r="J378" t="s">
        <v>77</v>
      </c>
      <c r="K378" t="s">
        <v>78</v>
      </c>
      <c r="L378" t="s">
        <v>535</v>
      </c>
      <c r="M378" t="s">
        <v>535</v>
      </c>
      <c r="N378" t="s">
        <v>1030</v>
      </c>
      <c r="O378" t="s">
        <v>89</v>
      </c>
      <c r="P378" t="str">
        <f>"4170071532                    "</f>
        <v xml:space="preserve">4170071532                    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0</v>
      </c>
      <c r="AF378">
        <v>0</v>
      </c>
      <c r="AG378">
        <v>0</v>
      </c>
      <c r="AH378">
        <v>0</v>
      </c>
      <c r="AI378">
        <v>0</v>
      </c>
      <c r="AJ378">
        <v>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250.43</v>
      </c>
      <c r="AR378">
        <v>0</v>
      </c>
      <c r="AS378">
        <v>0</v>
      </c>
      <c r="AT378">
        <v>0</v>
      </c>
      <c r="AU378">
        <v>0</v>
      </c>
      <c r="AV378">
        <v>0</v>
      </c>
      <c r="AW378">
        <v>0</v>
      </c>
      <c r="AX378">
        <v>0</v>
      </c>
      <c r="AY378">
        <v>0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1</v>
      </c>
      <c r="BI378">
        <v>6</v>
      </c>
      <c r="BJ378">
        <v>10.9</v>
      </c>
      <c r="BK378">
        <v>11</v>
      </c>
      <c r="BL378">
        <v>746.34</v>
      </c>
      <c r="BM378">
        <v>111.95</v>
      </c>
      <c r="BN378">
        <v>858.29</v>
      </c>
      <c r="BO378">
        <v>858.29</v>
      </c>
      <c r="BQ378" t="s">
        <v>1031</v>
      </c>
      <c r="BR378" t="s">
        <v>82</v>
      </c>
      <c r="BS378" s="3">
        <v>45995</v>
      </c>
      <c r="BT378" s="4">
        <v>0.79513888888888884</v>
      </c>
      <c r="BU378" t="s">
        <v>1032</v>
      </c>
      <c r="BV378" t="s">
        <v>87</v>
      </c>
      <c r="BW378" t="s">
        <v>153</v>
      </c>
      <c r="BX378" t="s">
        <v>345</v>
      </c>
      <c r="BY378">
        <v>54740</v>
      </c>
      <c r="CA378" t="s">
        <v>539</v>
      </c>
      <c r="CC378" t="s">
        <v>535</v>
      </c>
      <c r="CD378">
        <v>7646</v>
      </c>
      <c r="CE378" t="s">
        <v>93</v>
      </c>
      <c r="CF378" s="3">
        <v>45996</v>
      </c>
      <c r="CI378">
        <v>1</v>
      </c>
      <c r="CJ378">
        <v>1</v>
      </c>
      <c r="CK378">
        <v>23</v>
      </c>
      <c r="CL378" t="s">
        <v>87</v>
      </c>
    </row>
    <row r="379" spans="1:90" x14ac:dyDescent="0.3">
      <c r="A379" t="s">
        <v>72</v>
      </c>
      <c r="B379" t="s">
        <v>73</v>
      </c>
      <c r="C379" t="s">
        <v>74</v>
      </c>
      <c r="E379" t="str">
        <f>"080069649856"</f>
        <v>080069649856</v>
      </c>
      <c r="F379" s="3">
        <v>45994</v>
      </c>
      <c r="G379">
        <v>202609</v>
      </c>
      <c r="H379" t="s">
        <v>75</v>
      </c>
      <c r="I379" t="s">
        <v>76</v>
      </c>
      <c r="J379" t="s">
        <v>77</v>
      </c>
      <c r="K379" t="s">
        <v>78</v>
      </c>
      <c r="L379" t="s">
        <v>141</v>
      </c>
      <c r="M379" t="s">
        <v>142</v>
      </c>
      <c r="N379" t="s">
        <v>738</v>
      </c>
      <c r="O379" t="s">
        <v>89</v>
      </c>
      <c r="P379" t="str">
        <f>"4170071535                    "</f>
        <v xml:space="preserve">4170071535                    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25.52</v>
      </c>
      <c r="AR379">
        <v>0</v>
      </c>
      <c r="AS379">
        <v>0</v>
      </c>
      <c r="AT379">
        <v>0</v>
      </c>
      <c r="AU379">
        <v>0</v>
      </c>
      <c r="AV379">
        <v>0</v>
      </c>
      <c r="AW379">
        <v>0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1</v>
      </c>
      <c r="BI379">
        <v>1</v>
      </c>
      <c r="BJ379">
        <v>1.9</v>
      </c>
      <c r="BK379">
        <v>2</v>
      </c>
      <c r="BL379">
        <v>76.06</v>
      </c>
      <c r="BM379">
        <v>11.41</v>
      </c>
      <c r="BN379">
        <v>87.47</v>
      </c>
      <c r="BO379">
        <v>87.47</v>
      </c>
      <c r="BQ379" t="s">
        <v>739</v>
      </c>
      <c r="BR379" t="s">
        <v>82</v>
      </c>
      <c r="BS379" s="3">
        <v>45995</v>
      </c>
      <c r="BT379" s="4">
        <v>0.40763888888888888</v>
      </c>
      <c r="BU379" t="s">
        <v>968</v>
      </c>
      <c r="BV379" t="s">
        <v>84</v>
      </c>
      <c r="BY379">
        <v>9600</v>
      </c>
      <c r="CA379" t="s">
        <v>277</v>
      </c>
      <c r="CC379" t="s">
        <v>142</v>
      </c>
      <c r="CD379">
        <v>6001</v>
      </c>
      <c r="CE379" t="s">
        <v>86</v>
      </c>
      <c r="CF379" s="3">
        <v>45995</v>
      </c>
      <c r="CI379">
        <v>1</v>
      </c>
      <c r="CJ379">
        <v>1</v>
      </c>
      <c r="CK379">
        <v>21</v>
      </c>
      <c r="CL379" t="s">
        <v>87</v>
      </c>
    </row>
    <row r="380" spans="1:90" x14ac:dyDescent="0.3">
      <c r="A380" t="s">
        <v>72</v>
      </c>
      <c r="B380" t="s">
        <v>73</v>
      </c>
      <c r="C380" t="s">
        <v>74</v>
      </c>
      <c r="E380" t="str">
        <f>"080069650619"</f>
        <v>080069650619</v>
      </c>
      <c r="F380" s="3">
        <v>45994</v>
      </c>
      <c r="G380">
        <v>202609</v>
      </c>
      <c r="H380" t="s">
        <v>75</v>
      </c>
      <c r="I380" t="s">
        <v>76</v>
      </c>
      <c r="J380" t="s">
        <v>77</v>
      </c>
      <c r="K380" t="s">
        <v>78</v>
      </c>
      <c r="L380" t="s">
        <v>141</v>
      </c>
      <c r="M380" t="s">
        <v>142</v>
      </c>
      <c r="N380" t="s">
        <v>608</v>
      </c>
      <c r="O380" t="s">
        <v>89</v>
      </c>
      <c r="P380" t="str">
        <f>"4170071570                    "</f>
        <v xml:space="preserve">4170071570                    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0</v>
      </c>
      <c r="AJ380">
        <v>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102.06</v>
      </c>
      <c r="AR380">
        <v>0</v>
      </c>
      <c r="AS380">
        <v>0</v>
      </c>
      <c r="AT380">
        <v>0</v>
      </c>
      <c r="AU380">
        <v>0</v>
      </c>
      <c r="AV380">
        <v>0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1</v>
      </c>
      <c r="BI380">
        <v>6</v>
      </c>
      <c r="BJ380">
        <v>7.8</v>
      </c>
      <c r="BK380">
        <v>8</v>
      </c>
      <c r="BL380">
        <v>304.16000000000003</v>
      </c>
      <c r="BM380">
        <v>45.62</v>
      </c>
      <c r="BN380">
        <v>349.78</v>
      </c>
      <c r="BO380">
        <v>349.78</v>
      </c>
      <c r="BQ380" t="s">
        <v>609</v>
      </c>
      <c r="BR380" t="s">
        <v>82</v>
      </c>
      <c r="BS380" s="3">
        <v>45995</v>
      </c>
      <c r="BT380" s="4">
        <v>0.38958333333333334</v>
      </c>
      <c r="BU380" t="s">
        <v>610</v>
      </c>
      <c r="BV380" t="s">
        <v>84</v>
      </c>
      <c r="BY380">
        <v>39192</v>
      </c>
      <c r="CA380" t="s">
        <v>315</v>
      </c>
      <c r="CC380" t="s">
        <v>142</v>
      </c>
      <c r="CD380">
        <v>6070</v>
      </c>
      <c r="CE380" t="s">
        <v>86</v>
      </c>
      <c r="CF380" s="3">
        <v>45995</v>
      </c>
      <c r="CI380">
        <v>1</v>
      </c>
      <c r="CJ380">
        <v>1</v>
      </c>
      <c r="CK380">
        <v>21</v>
      </c>
      <c r="CL380" t="s">
        <v>87</v>
      </c>
    </row>
    <row r="381" spans="1:90" x14ac:dyDescent="0.3">
      <c r="A381" t="s">
        <v>72</v>
      </c>
      <c r="B381" t="s">
        <v>73</v>
      </c>
      <c r="C381" t="s">
        <v>74</v>
      </c>
      <c r="E381" t="str">
        <f>"080069650650"</f>
        <v>080069650650</v>
      </c>
      <c r="F381" s="3">
        <v>45994</v>
      </c>
      <c r="G381">
        <v>202609</v>
      </c>
      <c r="H381" t="s">
        <v>75</v>
      </c>
      <c r="I381" t="s">
        <v>76</v>
      </c>
      <c r="J381" t="s">
        <v>77</v>
      </c>
      <c r="K381" t="s">
        <v>78</v>
      </c>
      <c r="L381" t="s">
        <v>100</v>
      </c>
      <c r="M381" t="s">
        <v>101</v>
      </c>
      <c r="N381" t="s">
        <v>1033</v>
      </c>
      <c r="O381" t="s">
        <v>80</v>
      </c>
      <c r="P381" t="str">
        <f>"4170071573                    "</f>
        <v xml:space="preserve">4170071573                    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0</v>
      </c>
      <c r="AJ381">
        <v>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75.88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1</v>
      </c>
      <c r="BI381">
        <v>28</v>
      </c>
      <c r="BJ381">
        <v>8.9</v>
      </c>
      <c r="BK381">
        <v>28</v>
      </c>
      <c r="BL381">
        <v>232.24</v>
      </c>
      <c r="BM381">
        <v>34.840000000000003</v>
      </c>
      <c r="BN381">
        <v>267.08</v>
      </c>
      <c r="BO381">
        <v>267.08</v>
      </c>
      <c r="BQ381" t="s">
        <v>1034</v>
      </c>
      <c r="BR381" t="s">
        <v>82</v>
      </c>
      <c r="BS381" s="3">
        <v>45996</v>
      </c>
      <c r="BT381" s="4">
        <v>0.73750000000000004</v>
      </c>
      <c r="BU381" t="s">
        <v>1035</v>
      </c>
      <c r="BV381" t="s">
        <v>87</v>
      </c>
      <c r="BW381" t="s">
        <v>246</v>
      </c>
      <c r="BX381" t="s">
        <v>106</v>
      </c>
      <c r="BY381">
        <v>44688</v>
      </c>
      <c r="CA381" t="s">
        <v>248</v>
      </c>
      <c r="CC381" t="s">
        <v>101</v>
      </c>
      <c r="CD381">
        <v>4052</v>
      </c>
      <c r="CE381" t="s">
        <v>86</v>
      </c>
      <c r="CF381" s="3">
        <v>45996</v>
      </c>
      <c r="CI381">
        <v>1</v>
      </c>
      <c r="CJ381">
        <v>2</v>
      </c>
      <c r="CK381">
        <v>41</v>
      </c>
      <c r="CL381" t="s">
        <v>87</v>
      </c>
    </row>
    <row r="382" spans="1:90" x14ac:dyDescent="0.3">
      <c r="A382" t="s">
        <v>72</v>
      </c>
      <c r="B382" t="s">
        <v>73</v>
      </c>
      <c r="C382" t="s">
        <v>74</v>
      </c>
      <c r="E382" t="str">
        <f>"080069650675"</f>
        <v>080069650675</v>
      </c>
      <c r="F382" s="3">
        <v>45994</v>
      </c>
      <c r="G382">
        <v>202609</v>
      </c>
      <c r="H382" t="s">
        <v>75</v>
      </c>
      <c r="I382" t="s">
        <v>76</v>
      </c>
      <c r="J382" t="s">
        <v>77</v>
      </c>
      <c r="K382" t="s">
        <v>78</v>
      </c>
      <c r="L382" t="s">
        <v>141</v>
      </c>
      <c r="M382" t="s">
        <v>142</v>
      </c>
      <c r="N382" t="s">
        <v>587</v>
      </c>
      <c r="O382" t="s">
        <v>89</v>
      </c>
      <c r="P382" t="str">
        <f>"4170071695                    "</f>
        <v xml:space="preserve">4170071695                    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0</v>
      </c>
      <c r="AH382">
        <v>0</v>
      </c>
      <c r="AI382">
        <v>0</v>
      </c>
      <c r="AJ382">
        <v>0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51.04</v>
      </c>
      <c r="AR382">
        <v>0</v>
      </c>
      <c r="AS382">
        <v>0</v>
      </c>
      <c r="AT382">
        <v>0</v>
      </c>
      <c r="AU382">
        <v>0</v>
      </c>
      <c r="AV382">
        <v>0</v>
      </c>
      <c r="AW382">
        <v>0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1</v>
      </c>
      <c r="BI382">
        <v>4</v>
      </c>
      <c r="BJ382">
        <v>3.4</v>
      </c>
      <c r="BK382">
        <v>4</v>
      </c>
      <c r="BL382">
        <v>152.1</v>
      </c>
      <c r="BM382">
        <v>22.82</v>
      </c>
      <c r="BN382">
        <v>174.92</v>
      </c>
      <c r="BO382">
        <v>174.92</v>
      </c>
      <c r="BQ382" t="s">
        <v>588</v>
      </c>
      <c r="BR382" t="s">
        <v>82</v>
      </c>
      <c r="BS382" s="3">
        <v>45995</v>
      </c>
      <c r="BT382" s="4">
        <v>0.41388888888888886</v>
      </c>
      <c r="BU382" t="s">
        <v>1036</v>
      </c>
      <c r="BV382" t="s">
        <v>84</v>
      </c>
      <c r="BY382">
        <v>16965</v>
      </c>
      <c r="CA382" t="s">
        <v>1037</v>
      </c>
      <c r="CC382" t="s">
        <v>142</v>
      </c>
      <c r="CD382">
        <v>6001</v>
      </c>
      <c r="CE382" t="s">
        <v>86</v>
      </c>
      <c r="CF382" s="3">
        <v>45995</v>
      </c>
      <c r="CI382">
        <v>1</v>
      </c>
      <c r="CJ382">
        <v>1</v>
      </c>
      <c r="CK382">
        <v>21</v>
      </c>
      <c r="CL382" t="s">
        <v>87</v>
      </c>
    </row>
    <row r="383" spans="1:90" x14ac:dyDescent="0.3">
      <c r="A383" t="s">
        <v>72</v>
      </c>
      <c r="B383" t="s">
        <v>73</v>
      </c>
      <c r="C383" t="s">
        <v>74</v>
      </c>
      <c r="E383" t="str">
        <f>"080069650697"</f>
        <v>080069650697</v>
      </c>
      <c r="F383" s="3">
        <v>45994</v>
      </c>
      <c r="G383">
        <v>202609</v>
      </c>
      <c r="H383" t="s">
        <v>75</v>
      </c>
      <c r="I383" t="s">
        <v>76</v>
      </c>
      <c r="J383" t="s">
        <v>77</v>
      </c>
      <c r="K383" t="s">
        <v>78</v>
      </c>
      <c r="L383" t="s">
        <v>458</v>
      </c>
      <c r="M383" t="s">
        <v>459</v>
      </c>
      <c r="N383" t="s">
        <v>460</v>
      </c>
      <c r="O383" t="s">
        <v>89</v>
      </c>
      <c r="P383" t="str">
        <f>"4170071648                    "</f>
        <v xml:space="preserve">4170071648                    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0</v>
      </c>
      <c r="AJ383">
        <v>0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205.77</v>
      </c>
      <c r="AR383">
        <v>0</v>
      </c>
      <c r="AS383">
        <v>0</v>
      </c>
      <c r="AT383">
        <v>0</v>
      </c>
      <c r="AU383">
        <v>0</v>
      </c>
      <c r="AV383">
        <v>0</v>
      </c>
      <c r="AW383">
        <v>0</v>
      </c>
      <c r="AX383">
        <v>0</v>
      </c>
      <c r="AY383">
        <v>0</v>
      </c>
      <c r="AZ383">
        <v>0</v>
      </c>
      <c r="BA383">
        <v>0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1</v>
      </c>
      <c r="BI383">
        <v>9</v>
      </c>
      <c r="BJ383">
        <v>3.4</v>
      </c>
      <c r="BK383">
        <v>9</v>
      </c>
      <c r="BL383">
        <v>613.24</v>
      </c>
      <c r="BM383">
        <v>91.99</v>
      </c>
      <c r="BN383">
        <v>705.23</v>
      </c>
      <c r="BO383">
        <v>705.23</v>
      </c>
      <c r="BQ383" t="s">
        <v>461</v>
      </c>
      <c r="BR383" t="s">
        <v>82</v>
      </c>
      <c r="BS383" s="3">
        <v>45995</v>
      </c>
      <c r="BT383" s="4">
        <v>0.53333333333333333</v>
      </c>
      <c r="BU383" t="s">
        <v>462</v>
      </c>
      <c r="BV383" t="s">
        <v>84</v>
      </c>
      <c r="BY383">
        <v>16965</v>
      </c>
      <c r="CA383" t="s">
        <v>463</v>
      </c>
      <c r="CC383" t="s">
        <v>459</v>
      </c>
      <c r="CD383">
        <v>7130</v>
      </c>
      <c r="CE383" t="s">
        <v>86</v>
      </c>
      <c r="CF383" s="3">
        <v>45996</v>
      </c>
      <c r="CI383">
        <v>1</v>
      </c>
      <c r="CJ383">
        <v>1</v>
      </c>
      <c r="CK383">
        <v>23</v>
      </c>
      <c r="CL383" t="s">
        <v>87</v>
      </c>
    </row>
    <row r="384" spans="1:90" x14ac:dyDescent="0.3">
      <c r="A384" t="s">
        <v>72</v>
      </c>
      <c r="B384" t="s">
        <v>73</v>
      </c>
      <c r="C384" t="s">
        <v>74</v>
      </c>
      <c r="E384" t="str">
        <f>"080069650720"</f>
        <v>080069650720</v>
      </c>
      <c r="F384" s="3">
        <v>45994</v>
      </c>
      <c r="G384">
        <v>202609</v>
      </c>
      <c r="H384" t="s">
        <v>75</v>
      </c>
      <c r="I384" t="s">
        <v>76</v>
      </c>
      <c r="J384" t="s">
        <v>77</v>
      </c>
      <c r="K384" t="s">
        <v>78</v>
      </c>
      <c r="L384" t="s">
        <v>295</v>
      </c>
      <c r="M384" t="s">
        <v>296</v>
      </c>
      <c r="N384" t="s">
        <v>1038</v>
      </c>
      <c r="O384" t="s">
        <v>340</v>
      </c>
      <c r="P384" t="str">
        <f>"4170071543                    "</f>
        <v xml:space="preserve">4170071543                    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0</v>
      </c>
      <c r="AJ384">
        <v>0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19.940000000000001</v>
      </c>
      <c r="AR384">
        <v>0</v>
      </c>
      <c r="AS384">
        <v>0</v>
      </c>
      <c r="AT384">
        <v>0</v>
      </c>
      <c r="AU384">
        <v>0</v>
      </c>
      <c r="AV384">
        <v>0</v>
      </c>
      <c r="AW384">
        <v>0</v>
      </c>
      <c r="AX384">
        <v>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1</v>
      </c>
      <c r="BI384">
        <v>4</v>
      </c>
      <c r="BJ384">
        <v>1.7</v>
      </c>
      <c r="BK384">
        <v>4</v>
      </c>
      <c r="BL384">
        <v>59.43</v>
      </c>
      <c r="BM384">
        <v>8.91</v>
      </c>
      <c r="BN384">
        <v>68.34</v>
      </c>
      <c r="BO384">
        <v>68.34</v>
      </c>
      <c r="BQ384" t="s">
        <v>1039</v>
      </c>
      <c r="BR384" t="s">
        <v>82</v>
      </c>
      <c r="BS384" s="3">
        <v>45995</v>
      </c>
      <c r="BT384" s="4">
        <v>0.58680555555555558</v>
      </c>
      <c r="BU384" t="s">
        <v>1040</v>
      </c>
      <c r="BV384" t="s">
        <v>84</v>
      </c>
      <c r="BY384">
        <v>8550</v>
      </c>
      <c r="CA384" t="s">
        <v>417</v>
      </c>
      <c r="CC384" t="s">
        <v>296</v>
      </c>
      <c r="CD384">
        <v>1500</v>
      </c>
      <c r="CE384" t="s">
        <v>86</v>
      </c>
      <c r="CF384" s="3">
        <v>45996</v>
      </c>
      <c r="CI384">
        <v>1</v>
      </c>
      <c r="CJ384">
        <v>1</v>
      </c>
      <c r="CK384">
        <v>32</v>
      </c>
      <c r="CL384" t="s">
        <v>87</v>
      </c>
    </row>
    <row r="385" spans="1:90" x14ac:dyDescent="0.3">
      <c r="A385" t="s">
        <v>72</v>
      </c>
      <c r="B385" t="s">
        <v>73</v>
      </c>
      <c r="C385" t="s">
        <v>74</v>
      </c>
      <c r="E385" t="str">
        <f>"080069650748"</f>
        <v>080069650748</v>
      </c>
      <c r="F385" s="3">
        <v>45994</v>
      </c>
      <c r="G385">
        <v>202609</v>
      </c>
      <c r="H385" t="s">
        <v>75</v>
      </c>
      <c r="I385" t="s">
        <v>76</v>
      </c>
      <c r="J385" t="s">
        <v>77</v>
      </c>
      <c r="K385" t="s">
        <v>78</v>
      </c>
      <c r="L385" t="s">
        <v>1041</v>
      </c>
      <c r="M385" t="s">
        <v>1042</v>
      </c>
      <c r="N385" t="s">
        <v>1043</v>
      </c>
      <c r="O385" t="s">
        <v>89</v>
      </c>
      <c r="P385" t="str">
        <f>"4170071549                    "</f>
        <v xml:space="preserve">4170071549                    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0</v>
      </c>
      <c r="AJ385">
        <v>0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105.28</v>
      </c>
      <c r="AR385">
        <v>0</v>
      </c>
      <c r="AS385">
        <v>0</v>
      </c>
      <c r="AT385">
        <v>0</v>
      </c>
      <c r="AU385">
        <v>0</v>
      </c>
      <c r="AV385">
        <v>0</v>
      </c>
      <c r="AW385">
        <v>0</v>
      </c>
      <c r="AX385">
        <v>0</v>
      </c>
      <c r="AY385">
        <v>0</v>
      </c>
      <c r="AZ385">
        <v>0</v>
      </c>
      <c r="BA385">
        <v>0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1</v>
      </c>
      <c r="BI385">
        <v>2</v>
      </c>
      <c r="BJ385">
        <v>4.3</v>
      </c>
      <c r="BK385">
        <v>4.5</v>
      </c>
      <c r="BL385">
        <v>313.76</v>
      </c>
      <c r="BM385">
        <v>47.06</v>
      </c>
      <c r="BN385">
        <v>360.82</v>
      </c>
      <c r="BO385">
        <v>360.82</v>
      </c>
      <c r="BQ385" t="s">
        <v>1044</v>
      </c>
      <c r="BR385" t="s">
        <v>82</v>
      </c>
      <c r="BS385" s="3">
        <v>45995</v>
      </c>
      <c r="BT385" s="4">
        <v>0.48541666666666666</v>
      </c>
      <c r="BU385" t="s">
        <v>1045</v>
      </c>
      <c r="BV385" t="s">
        <v>84</v>
      </c>
      <c r="BY385">
        <v>21420</v>
      </c>
      <c r="CA385" t="s">
        <v>1046</v>
      </c>
      <c r="CC385" t="s">
        <v>1042</v>
      </c>
      <c r="CD385">
        <v>5257</v>
      </c>
      <c r="CE385" t="s">
        <v>93</v>
      </c>
      <c r="CF385" s="3">
        <v>45996</v>
      </c>
      <c r="CI385">
        <v>1</v>
      </c>
      <c r="CJ385">
        <v>1</v>
      </c>
      <c r="CK385">
        <v>23</v>
      </c>
      <c r="CL385" t="s">
        <v>87</v>
      </c>
    </row>
    <row r="386" spans="1:90" x14ac:dyDescent="0.3">
      <c r="A386" t="s">
        <v>72</v>
      </c>
      <c r="B386" t="s">
        <v>73</v>
      </c>
      <c r="C386" t="s">
        <v>74</v>
      </c>
      <c r="E386" t="str">
        <f>"080069650774"</f>
        <v>080069650774</v>
      </c>
      <c r="F386" s="3">
        <v>45994</v>
      </c>
      <c r="G386">
        <v>202609</v>
      </c>
      <c r="H386" t="s">
        <v>75</v>
      </c>
      <c r="I386" t="s">
        <v>76</v>
      </c>
      <c r="J386" t="s">
        <v>77</v>
      </c>
      <c r="K386" t="s">
        <v>78</v>
      </c>
      <c r="L386" t="s">
        <v>295</v>
      </c>
      <c r="M386" t="s">
        <v>296</v>
      </c>
      <c r="N386" t="s">
        <v>1047</v>
      </c>
      <c r="O386" t="s">
        <v>340</v>
      </c>
      <c r="P386" t="str">
        <f>"4170071426                    "</f>
        <v xml:space="preserve">4170071426                    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0</v>
      </c>
      <c r="AJ386">
        <v>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19.940000000000001</v>
      </c>
      <c r="AR386">
        <v>0</v>
      </c>
      <c r="AS386">
        <v>0</v>
      </c>
      <c r="AT386">
        <v>0</v>
      </c>
      <c r="AU386">
        <v>0</v>
      </c>
      <c r="AV386">
        <v>0</v>
      </c>
      <c r="AW386">
        <v>0</v>
      </c>
      <c r="AX386">
        <v>0</v>
      </c>
      <c r="AY386">
        <v>0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1</v>
      </c>
      <c r="BI386">
        <v>3</v>
      </c>
      <c r="BJ386">
        <v>5.9</v>
      </c>
      <c r="BK386">
        <v>6</v>
      </c>
      <c r="BL386">
        <v>59.43</v>
      </c>
      <c r="BM386">
        <v>8.91</v>
      </c>
      <c r="BN386">
        <v>68.34</v>
      </c>
      <c r="BO386">
        <v>68.34</v>
      </c>
      <c r="BQ386" t="s">
        <v>1048</v>
      </c>
      <c r="BR386" t="s">
        <v>82</v>
      </c>
      <c r="BS386" s="3">
        <v>45995</v>
      </c>
      <c r="BT386" s="4">
        <v>0.49375000000000002</v>
      </c>
      <c r="BU386" t="s">
        <v>1049</v>
      </c>
      <c r="BV386" t="s">
        <v>84</v>
      </c>
      <c r="BY386">
        <v>29406</v>
      </c>
      <c r="CA386" t="s">
        <v>319</v>
      </c>
      <c r="CC386" t="s">
        <v>296</v>
      </c>
      <c r="CD386">
        <v>1508</v>
      </c>
      <c r="CE386" t="s">
        <v>86</v>
      </c>
      <c r="CF386" s="3">
        <v>45995</v>
      </c>
      <c r="CI386">
        <v>1</v>
      </c>
      <c r="CJ386">
        <v>1</v>
      </c>
      <c r="CK386">
        <v>32</v>
      </c>
      <c r="CL386" t="s">
        <v>87</v>
      </c>
    </row>
    <row r="387" spans="1:90" x14ac:dyDescent="0.3">
      <c r="A387" t="s">
        <v>72</v>
      </c>
      <c r="B387" t="s">
        <v>73</v>
      </c>
      <c r="C387" t="s">
        <v>74</v>
      </c>
      <c r="E387" t="str">
        <f>"080069650804"</f>
        <v>080069650804</v>
      </c>
      <c r="F387" s="3">
        <v>45994</v>
      </c>
      <c r="G387">
        <v>202609</v>
      </c>
      <c r="H387" t="s">
        <v>75</v>
      </c>
      <c r="I387" t="s">
        <v>76</v>
      </c>
      <c r="J387" t="s">
        <v>77</v>
      </c>
      <c r="K387" t="s">
        <v>78</v>
      </c>
      <c r="L387" t="s">
        <v>75</v>
      </c>
      <c r="M387" t="s">
        <v>76</v>
      </c>
      <c r="N387" t="s">
        <v>79</v>
      </c>
      <c r="O387" t="s">
        <v>80</v>
      </c>
      <c r="P387" t="str">
        <f>"4170071504                    "</f>
        <v xml:space="preserve">4170071504                    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0</v>
      </c>
      <c r="AJ387">
        <v>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38.090000000000003</v>
      </c>
      <c r="AR387">
        <v>0</v>
      </c>
      <c r="AS387">
        <v>0</v>
      </c>
      <c r="AT387">
        <v>0</v>
      </c>
      <c r="AU387">
        <v>0</v>
      </c>
      <c r="AV387">
        <v>0</v>
      </c>
      <c r="AW387">
        <v>0</v>
      </c>
      <c r="AX387">
        <v>0</v>
      </c>
      <c r="AY387">
        <v>0</v>
      </c>
      <c r="AZ387">
        <v>0</v>
      </c>
      <c r="BA387">
        <v>0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1</v>
      </c>
      <c r="BI387">
        <v>3</v>
      </c>
      <c r="BJ387">
        <v>1.3</v>
      </c>
      <c r="BK387">
        <v>3</v>
      </c>
      <c r="BL387">
        <v>119.61</v>
      </c>
      <c r="BM387">
        <v>17.940000000000001</v>
      </c>
      <c r="BN387">
        <v>137.55000000000001</v>
      </c>
      <c r="BO387">
        <v>137.55000000000001</v>
      </c>
      <c r="BQ387" t="s">
        <v>81</v>
      </c>
      <c r="BR387" t="s">
        <v>82</v>
      </c>
      <c r="BS387" s="3">
        <v>45995</v>
      </c>
      <c r="BT387" s="4">
        <v>0.42152777777777778</v>
      </c>
      <c r="BU387" t="s">
        <v>83</v>
      </c>
      <c r="BV387" t="s">
        <v>84</v>
      </c>
      <c r="BY387">
        <v>6555</v>
      </c>
      <c r="CA387" t="s">
        <v>85</v>
      </c>
      <c r="CC387" t="s">
        <v>76</v>
      </c>
      <c r="CD387">
        <v>1619</v>
      </c>
      <c r="CE387" t="s">
        <v>654</v>
      </c>
      <c r="CF387" s="3">
        <v>45995</v>
      </c>
      <c r="CI387">
        <v>1</v>
      </c>
      <c r="CJ387">
        <v>1</v>
      </c>
      <c r="CK387">
        <v>42</v>
      </c>
      <c r="CL387" t="s">
        <v>87</v>
      </c>
    </row>
    <row r="388" spans="1:90" x14ac:dyDescent="0.3">
      <c r="A388" t="s">
        <v>72</v>
      </c>
      <c r="B388" t="s">
        <v>73</v>
      </c>
      <c r="C388" t="s">
        <v>74</v>
      </c>
      <c r="E388" t="str">
        <f>"080069650828"</f>
        <v>080069650828</v>
      </c>
      <c r="F388" s="3">
        <v>45994</v>
      </c>
      <c r="G388">
        <v>202609</v>
      </c>
      <c r="H388" t="s">
        <v>75</v>
      </c>
      <c r="I388" t="s">
        <v>76</v>
      </c>
      <c r="J388" t="s">
        <v>77</v>
      </c>
      <c r="K388" t="s">
        <v>78</v>
      </c>
      <c r="L388" t="s">
        <v>141</v>
      </c>
      <c r="M388" t="s">
        <v>142</v>
      </c>
      <c r="N388" t="s">
        <v>1050</v>
      </c>
      <c r="O388" t="s">
        <v>89</v>
      </c>
      <c r="P388" t="str">
        <f>"4170071527                    "</f>
        <v xml:space="preserve">4170071527                    </v>
      </c>
      <c r="Q388">
        <v>0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0</v>
      </c>
      <c r="AJ388">
        <v>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25.52</v>
      </c>
      <c r="AR388">
        <v>0</v>
      </c>
      <c r="AS388">
        <v>0</v>
      </c>
      <c r="AT388">
        <v>0</v>
      </c>
      <c r="AU388">
        <v>0</v>
      </c>
      <c r="AV388">
        <v>0</v>
      </c>
      <c r="AW388">
        <v>0</v>
      </c>
      <c r="AX388">
        <v>0</v>
      </c>
      <c r="AY388">
        <v>0</v>
      </c>
      <c r="AZ388">
        <v>0</v>
      </c>
      <c r="BA388">
        <v>0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1</v>
      </c>
      <c r="BI388">
        <v>1</v>
      </c>
      <c r="BJ388">
        <v>1.1000000000000001</v>
      </c>
      <c r="BK388">
        <v>1.5</v>
      </c>
      <c r="BL388">
        <v>76.06</v>
      </c>
      <c r="BM388">
        <v>11.41</v>
      </c>
      <c r="BN388">
        <v>87.47</v>
      </c>
      <c r="BO388">
        <v>87.47</v>
      </c>
      <c r="BQ388" t="s">
        <v>1051</v>
      </c>
      <c r="BR388" t="s">
        <v>82</v>
      </c>
      <c r="BS388" s="3">
        <v>45995</v>
      </c>
      <c r="BT388" s="4">
        <v>0.42222222222222222</v>
      </c>
      <c r="BU388" t="s">
        <v>1052</v>
      </c>
      <c r="BV388" t="s">
        <v>84</v>
      </c>
      <c r="BY388">
        <v>5320</v>
      </c>
      <c r="BZ388" t="s">
        <v>271</v>
      </c>
      <c r="CA388" t="s">
        <v>146</v>
      </c>
      <c r="CC388" t="s">
        <v>142</v>
      </c>
      <c r="CD388">
        <v>6000</v>
      </c>
      <c r="CE388" t="s">
        <v>147</v>
      </c>
      <c r="CF388" s="3">
        <v>45995</v>
      </c>
      <c r="CI388">
        <v>1</v>
      </c>
      <c r="CJ388">
        <v>1</v>
      </c>
      <c r="CK388">
        <v>21</v>
      </c>
      <c r="CL388" t="s">
        <v>87</v>
      </c>
    </row>
    <row r="389" spans="1:90" x14ac:dyDescent="0.3">
      <c r="A389" t="s">
        <v>72</v>
      </c>
      <c r="B389" t="s">
        <v>73</v>
      </c>
      <c r="C389" t="s">
        <v>74</v>
      </c>
      <c r="E389" t="str">
        <f>"080069650834"</f>
        <v>080069650834</v>
      </c>
      <c r="F389" s="3">
        <v>45994</v>
      </c>
      <c r="G389">
        <v>202609</v>
      </c>
      <c r="H389" t="s">
        <v>75</v>
      </c>
      <c r="I389" t="s">
        <v>76</v>
      </c>
      <c r="J389" t="s">
        <v>77</v>
      </c>
      <c r="K389" t="s">
        <v>78</v>
      </c>
      <c r="L389" t="s">
        <v>141</v>
      </c>
      <c r="M389" t="s">
        <v>142</v>
      </c>
      <c r="N389" t="s">
        <v>587</v>
      </c>
      <c r="O389" t="s">
        <v>89</v>
      </c>
      <c r="P389" t="str">
        <f>"4170071632                    "</f>
        <v xml:space="preserve">4170071632                    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0</v>
      </c>
      <c r="AG389">
        <v>0</v>
      </c>
      <c r="AH389">
        <v>0</v>
      </c>
      <c r="AI389">
        <v>0</v>
      </c>
      <c r="AJ389">
        <v>0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25.52</v>
      </c>
      <c r="AR389">
        <v>0</v>
      </c>
      <c r="AS389">
        <v>0</v>
      </c>
      <c r="AT389">
        <v>0</v>
      </c>
      <c r="AU389">
        <v>0</v>
      </c>
      <c r="AV389">
        <v>0</v>
      </c>
      <c r="AW389">
        <v>0</v>
      </c>
      <c r="AX389">
        <v>0</v>
      </c>
      <c r="AY389">
        <v>0</v>
      </c>
      <c r="AZ389">
        <v>0</v>
      </c>
      <c r="BA389">
        <v>0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1</v>
      </c>
      <c r="BI389">
        <v>1</v>
      </c>
      <c r="BJ389">
        <v>0.2</v>
      </c>
      <c r="BK389">
        <v>1</v>
      </c>
      <c r="BL389">
        <v>76.06</v>
      </c>
      <c r="BM389">
        <v>11.41</v>
      </c>
      <c r="BN389">
        <v>87.47</v>
      </c>
      <c r="BO389">
        <v>87.47</v>
      </c>
      <c r="BQ389" t="s">
        <v>588</v>
      </c>
      <c r="BR389" t="s">
        <v>82</v>
      </c>
      <c r="BS389" s="3">
        <v>45995</v>
      </c>
      <c r="BT389" s="4">
        <v>0.41388888888888886</v>
      </c>
      <c r="BU389" t="s">
        <v>1036</v>
      </c>
      <c r="BV389" t="s">
        <v>84</v>
      </c>
      <c r="BY389">
        <v>1200</v>
      </c>
      <c r="CA389" t="s">
        <v>1037</v>
      </c>
      <c r="CC389" t="s">
        <v>142</v>
      </c>
      <c r="CD389">
        <v>6001</v>
      </c>
      <c r="CE389" t="s">
        <v>134</v>
      </c>
      <c r="CF389" s="3">
        <v>45995</v>
      </c>
      <c r="CI389">
        <v>1</v>
      </c>
      <c r="CJ389">
        <v>1</v>
      </c>
      <c r="CK389">
        <v>21</v>
      </c>
      <c r="CL389" t="s">
        <v>87</v>
      </c>
    </row>
    <row r="390" spans="1:90" x14ac:dyDescent="0.3">
      <c r="A390" t="s">
        <v>72</v>
      </c>
      <c r="B390" t="s">
        <v>73</v>
      </c>
      <c r="C390" t="s">
        <v>74</v>
      </c>
      <c r="E390" t="str">
        <f>"080069650864"</f>
        <v>080069650864</v>
      </c>
      <c r="F390" s="3">
        <v>45994</v>
      </c>
      <c r="G390">
        <v>202609</v>
      </c>
      <c r="H390" t="s">
        <v>75</v>
      </c>
      <c r="I390" t="s">
        <v>76</v>
      </c>
      <c r="J390" t="s">
        <v>77</v>
      </c>
      <c r="K390" t="s">
        <v>78</v>
      </c>
      <c r="L390" t="s">
        <v>645</v>
      </c>
      <c r="M390" t="s">
        <v>646</v>
      </c>
      <c r="N390" t="s">
        <v>647</v>
      </c>
      <c r="O390" t="s">
        <v>89</v>
      </c>
      <c r="P390" t="str">
        <f>"4170071638                    "</f>
        <v xml:space="preserve">4170071638                    </v>
      </c>
      <c r="Q390">
        <v>0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0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82.95</v>
      </c>
      <c r="AR390">
        <v>0</v>
      </c>
      <c r="AS390">
        <v>0</v>
      </c>
      <c r="AT390">
        <v>0</v>
      </c>
      <c r="AU390">
        <v>0</v>
      </c>
      <c r="AV390">
        <v>0</v>
      </c>
      <c r="AW390">
        <v>17.41</v>
      </c>
      <c r="AX390">
        <v>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1</v>
      </c>
      <c r="BI390">
        <v>1.2</v>
      </c>
      <c r="BJ390">
        <v>3.2</v>
      </c>
      <c r="BK390">
        <v>3.5</v>
      </c>
      <c r="BL390">
        <v>264.62</v>
      </c>
      <c r="BM390">
        <v>39.69</v>
      </c>
      <c r="BN390">
        <v>304.31</v>
      </c>
      <c r="BO390">
        <v>304.31</v>
      </c>
      <c r="BQ390" t="s">
        <v>648</v>
      </c>
      <c r="BR390" t="s">
        <v>82</v>
      </c>
      <c r="BS390" s="3">
        <v>45995</v>
      </c>
      <c r="BT390" s="4">
        <v>0.5708333333333333</v>
      </c>
      <c r="BU390" t="s">
        <v>649</v>
      </c>
      <c r="BV390" t="s">
        <v>84</v>
      </c>
      <c r="BY390">
        <v>15940.8</v>
      </c>
      <c r="BZ390" t="s">
        <v>30</v>
      </c>
      <c r="CA390" t="s">
        <v>650</v>
      </c>
      <c r="CC390" t="s">
        <v>646</v>
      </c>
      <c r="CD390">
        <v>3875</v>
      </c>
      <c r="CE390" t="s">
        <v>134</v>
      </c>
      <c r="CF390" s="3">
        <v>45995</v>
      </c>
      <c r="CI390">
        <v>2</v>
      </c>
      <c r="CJ390">
        <v>1</v>
      </c>
      <c r="CK390">
        <v>23</v>
      </c>
      <c r="CL390" t="s">
        <v>87</v>
      </c>
    </row>
    <row r="391" spans="1:90" x14ac:dyDescent="0.3">
      <c r="A391" t="s">
        <v>72</v>
      </c>
      <c r="B391" t="s">
        <v>73</v>
      </c>
      <c r="C391" t="s">
        <v>74</v>
      </c>
      <c r="E391" t="str">
        <f>"080069650878"</f>
        <v>080069650878</v>
      </c>
      <c r="F391" s="3">
        <v>45994</v>
      </c>
      <c r="G391">
        <v>202609</v>
      </c>
      <c r="H391" t="s">
        <v>75</v>
      </c>
      <c r="I391" t="s">
        <v>76</v>
      </c>
      <c r="J391" t="s">
        <v>77</v>
      </c>
      <c r="K391" t="s">
        <v>78</v>
      </c>
      <c r="L391" t="s">
        <v>189</v>
      </c>
      <c r="M391" t="s">
        <v>190</v>
      </c>
      <c r="N391" t="s">
        <v>1053</v>
      </c>
      <c r="O391" t="s">
        <v>89</v>
      </c>
      <c r="P391" t="str">
        <f>"4170071667                    "</f>
        <v xml:space="preserve">4170071667                    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>
        <v>0</v>
      </c>
      <c r="AG391">
        <v>0</v>
      </c>
      <c r="AH391">
        <v>0</v>
      </c>
      <c r="AI391">
        <v>0</v>
      </c>
      <c r="AJ391">
        <v>0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25.52</v>
      </c>
      <c r="AR391">
        <v>0</v>
      </c>
      <c r="AS391">
        <v>0</v>
      </c>
      <c r="AT391">
        <v>0</v>
      </c>
      <c r="AU391">
        <v>0</v>
      </c>
      <c r="AV391">
        <v>0</v>
      </c>
      <c r="AW391">
        <v>0</v>
      </c>
      <c r="AX391">
        <v>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1</v>
      </c>
      <c r="BI391">
        <v>0.5</v>
      </c>
      <c r="BJ391">
        <v>1.5</v>
      </c>
      <c r="BK391">
        <v>1.5</v>
      </c>
      <c r="BL391">
        <v>76.06</v>
      </c>
      <c r="BM391">
        <v>11.41</v>
      </c>
      <c r="BN391">
        <v>87.47</v>
      </c>
      <c r="BO391">
        <v>87.47</v>
      </c>
      <c r="BQ391" t="s">
        <v>1054</v>
      </c>
      <c r="BR391" t="s">
        <v>82</v>
      </c>
      <c r="BS391" s="3">
        <v>45999</v>
      </c>
      <c r="BT391" s="4">
        <v>0.3888888888888889</v>
      </c>
      <c r="BU391" t="s">
        <v>1055</v>
      </c>
      <c r="BV391" t="s">
        <v>87</v>
      </c>
      <c r="BY391">
        <v>7745.2</v>
      </c>
      <c r="CA391" t="s">
        <v>794</v>
      </c>
      <c r="CC391" t="s">
        <v>190</v>
      </c>
      <c r="CD391">
        <v>3201</v>
      </c>
      <c r="CE391" t="s">
        <v>134</v>
      </c>
      <c r="CF391" s="3">
        <v>46000</v>
      </c>
      <c r="CI391">
        <v>1</v>
      </c>
      <c r="CJ391">
        <v>3</v>
      </c>
      <c r="CK391">
        <v>21</v>
      </c>
      <c r="CL391" t="s">
        <v>87</v>
      </c>
    </row>
    <row r="392" spans="1:90" x14ac:dyDescent="0.3">
      <c r="A392" t="s">
        <v>72</v>
      </c>
      <c r="B392" t="s">
        <v>73</v>
      </c>
      <c r="C392" t="s">
        <v>74</v>
      </c>
      <c r="E392" t="str">
        <f>"080069650887"</f>
        <v>080069650887</v>
      </c>
      <c r="F392" s="3">
        <v>45994</v>
      </c>
      <c r="G392">
        <v>202609</v>
      </c>
      <c r="H392" t="s">
        <v>75</v>
      </c>
      <c r="I392" t="s">
        <v>76</v>
      </c>
      <c r="J392" t="s">
        <v>77</v>
      </c>
      <c r="K392" t="s">
        <v>78</v>
      </c>
      <c r="L392" t="s">
        <v>189</v>
      </c>
      <c r="M392" t="s">
        <v>190</v>
      </c>
      <c r="N392" t="s">
        <v>1053</v>
      </c>
      <c r="O392" t="s">
        <v>89</v>
      </c>
      <c r="P392" t="str">
        <f>"4170071668                    "</f>
        <v xml:space="preserve">4170071668                    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0</v>
      </c>
      <c r="AI392">
        <v>0</v>
      </c>
      <c r="AJ392">
        <v>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25.52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0</v>
      </c>
      <c r="AX392">
        <v>0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1</v>
      </c>
      <c r="BI392">
        <v>1</v>
      </c>
      <c r="BJ392">
        <v>0.2</v>
      </c>
      <c r="BK392">
        <v>1</v>
      </c>
      <c r="BL392">
        <v>76.06</v>
      </c>
      <c r="BM392">
        <v>11.41</v>
      </c>
      <c r="BN392">
        <v>87.47</v>
      </c>
      <c r="BO392">
        <v>87.47</v>
      </c>
      <c r="BQ392" t="s">
        <v>1054</v>
      </c>
      <c r="BR392" t="s">
        <v>82</v>
      </c>
      <c r="BS392" s="3">
        <v>45999</v>
      </c>
      <c r="BT392" s="4">
        <v>0.3888888888888889</v>
      </c>
      <c r="BU392" t="s">
        <v>1055</v>
      </c>
      <c r="BV392" t="s">
        <v>87</v>
      </c>
      <c r="BY392">
        <v>1200</v>
      </c>
      <c r="CA392" t="s">
        <v>794</v>
      </c>
      <c r="CC392" t="s">
        <v>190</v>
      </c>
      <c r="CD392">
        <v>3201</v>
      </c>
      <c r="CE392" t="s">
        <v>134</v>
      </c>
      <c r="CF392" s="3">
        <v>46000</v>
      </c>
      <c r="CI392">
        <v>1</v>
      </c>
      <c r="CJ392">
        <v>3</v>
      </c>
      <c r="CK392">
        <v>21</v>
      </c>
      <c r="CL392" t="s">
        <v>87</v>
      </c>
    </row>
    <row r="393" spans="1:90" x14ac:dyDescent="0.3">
      <c r="A393" t="s">
        <v>72</v>
      </c>
      <c r="B393" t="s">
        <v>73</v>
      </c>
      <c r="C393" t="s">
        <v>74</v>
      </c>
      <c r="E393" t="str">
        <f>"080069650920"</f>
        <v>080069650920</v>
      </c>
      <c r="F393" s="3">
        <v>45994</v>
      </c>
      <c r="G393">
        <v>202609</v>
      </c>
      <c r="H393" t="s">
        <v>75</v>
      </c>
      <c r="I393" t="s">
        <v>76</v>
      </c>
      <c r="J393" t="s">
        <v>77</v>
      </c>
      <c r="K393" t="s">
        <v>78</v>
      </c>
      <c r="L393" t="s">
        <v>156</v>
      </c>
      <c r="M393" t="s">
        <v>157</v>
      </c>
      <c r="N393" t="s">
        <v>665</v>
      </c>
      <c r="O393" t="s">
        <v>89</v>
      </c>
      <c r="P393" t="str">
        <f>"4170071752                    "</f>
        <v xml:space="preserve">4170071752                    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0</v>
      </c>
      <c r="AJ393">
        <v>0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25.52</v>
      </c>
      <c r="AR393">
        <v>0</v>
      </c>
      <c r="AS393">
        <v>0</v>
      </c>
      <c r="AT393">
        <v>0</v>
      </c>
      <c r="AU393">
        <v>0</v>
      </c>
      <c r="AV393">
        <v>0</v>
      </c>
      <c r="AW393">
        <v>0</v>
      </c>
      <c r="AX393">
        <v>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1</v>
      </c>
      <c r="BI393">
        <v>1</v>
      </c>
      <c r="BJ393">
        <v>0.2</v>
      </c>
      <c r="BK393">
        <v>1</v>
      </c>
      <c r="BL393">
        <v>76.06</v>
      </c>
      <c r="BM393">
        <v>11.41</v>
      </c>
      <c r="BN393">
        <v>87.47</v>
      </c>
      <c r="BO393">
        <v>87.47</v>
      </c>
      <c r="BQ393" t="s">
        <v>666</v>
      </c>
      <c r="BR393" t="s">
        <v>82</v>
      </c>
      <c r="BS393" s="3">
        <v>45995</v>
      </c>
      <c r="BT393" s="4">
        <v>0.61805555555555558</v>
      </c>
      <c r="BU393" t="s">
        <v>995</v>
      </c>
      <c r="BV393" t="s">
        <v>87</v>
      </c>
      <c r="BW393" t="s">
        <v>153</v>
      </c>
      <c r="BX393" t="s">
        <v>996</v>
      </c>
      <c r="BY393">
        <v>1200</v>
      </c>
      <c r="CA393" t="s">
        <v>997</v>
      </c>
      <c r="CC393" t="s">
        <v>157</v>
      </c>
      <c r="CD393">
        <v>7550</v>
      </c>
      <c r="CE393" t="s">
        <v>134</v>
      </c>
      <c r="CF393" s="3">
        <v>45996</v>
      </c>
      <c r="CI393">
        <v>1</v>
      </c>
      <c r="CJ393">
        <v>1</v>
      </c>
      <c r="CK393">
        <v>21</v>
      </c>
      <c r="CL393" t="s">
        <v>87</v>
      </c>
    </row>
    <row r="394" spans="1:90" x14ac:dyDescent="0.3">
      <c r="A394" t="s">
        <v>72</v>
      </c>
      <c r="B394" t="s">
        <v>73</v>
      </c>
      <c r="C394" t="s">
        <v>74</v>
      </c>
      <c r="E394" t="str">
        <f>"080069651096"</f>
        <v>080069651096</v>
      </c>
      <c r="F394" s="3">
        <v>45994</v>
      </c>
      <c r="G394">
        <v>202609</v>
      </c>
      <c r="H394" t="s">
        <v>75</v>
      </c>
      <c r="I394" t="s">
        <v>76</v>
      </c>
      <c r="J394" t="s">
        <v>77</v>
      </c>
      <c r="K394" t="s">
        <v>78</v>
      </c>
      <c r="L394" t="s">
        <v>302</v>
      </c>
      <c r="M394" t="s">
        <v>303</v>
      </c>
      <c r="N394" t="s">
        <v>1056</v>
      </c>
      <c r="O394" t="s">
        <v>89</v>
      </c>
      <c r="P394" t="str">
        <f>"4170071639                    "</f>
        <v xml:space="preserve">4170071639                    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31.9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0</v>
      </c>
      <c r="AX394">
        <v>0</v>
      </c>
      <c r="AY394">
        <v>0</v>
      </c>
      <c r="AZ394">
        <v>0</v>
      </c>
      <c r="BA394">
        <v>0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1</v>
      </c>
      <c r="BI394">
        <v>1</v>
      </c>
      <c r="BJ394">
        <v>2.5</v>
      </c>
      <c r="BK394">
        <v>2.5</v>
      </c>
      <c r="BL394">
        <v>95.07</v>
      </c>
      <c r="BM394">
        <v>14.26</v>
      </c>
      <c r="BN394">
        <v>109.33</v>
      </c>
      <c r="BO394">
        <v>109.33</v>
      </c>
      <c r="BQ394" t="s">
        <v>1057</v>
      </c>
      <c r="BR394" t="s">
        <v>82</v>
      </c>
      <c r="BS394" s="3">
        <v>45995</v>
      </c>
      <c r="BT394" s="4">
        <v>0.4236111111111111</v>
      </c>
      <c r="BU394" t="s">
        <v>1058</v>
      </c>
      <c r="BV394" t="s">
        <v>84</v>
      </c>
      <c r="BY394">
        <v>12520.5</v>
      </c>
      <c r="CA394">
        <v>8110305701087</v>
      </c>
      <c r="CC394" t="s">
        <v>303</v>
      </c>
      <c r="CD394" s="5" t="s">
        <v>933</v>
      </c>
      <c r="CE394" t="s">
        <v>134</v>
      </c>
      <c r="CF394" s="3">
        <v>45995</v>
      </c>
      <c r="CI394">
        <v>1</v>
      </c>
      <c r="CJ394">
        <v>1</v>
      </c>
      <c r="CK394">
        <v>21</v>
      </c>
      <c r="CL394" t="s">
        <v>87</v>
      </c>
    </row>
    <row r="395" spans="1:90" x14ac:dyDescent="0.3">
      <c r="A395" t="s">
        <v>72</v>
      </c>
      <c r="B395" t="s">
        <v>73</v>
      </c>
      <c r="C395" t="s">
        <v>74</v>
      </c>
      <c r="E395" t="str">
        <f>"080069651119"</f>
        <v>080069651119</v>
      </c>
      <c r="F395" s="3">
        <v>45994</v>
      </c>
      <c r="G395">
        <v>202609</v>
      </c>
      <c r="H395" t="s">
        <v>75</v>
      </c>
      <c r="I395" t="s">
        <v>76</v>
      </c>
      <c r="J395" t="s">
        <v>77</v>
      </c>
      <c r="K395" t="s">
        <v>78</v>
      </c>
      <c r="L395" t="s">
        <v>75</v>
      </c>
      <c r="M395" t="s">
        <v>76</v>
      </c>
      <c r="N395" t="s">
        <v>79</v>
      </c>
      <c r="O395" t="s">
        <v>89</v>
      </c>
      <c r="P395" t="str">
        <f>"4170071693                    "</f>
        <v xml:space="preserve">4170071693                    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19.940000000000001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0</v>
      </c>
      <c r="AX395">
        <v>0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1</v>
      </c>
      <c r="BI395">
        <v>1</v>
      </c>
      <c r="BJ395">
        <v>0.7</v>
      </c>
      <c r="BK395">
        <v>1</v>
      </c>
      <c r="BL395">
        <v>59.42</v>
      </c>
      <c r="BM395">
        <v>8.91</v>
      </c>
      <c r="BN395">
        <v>68.33</v>
      </c>
      <c r="BO395">
        <v>68.33</v>
      </c>
      <c r="BQ395" t="s">
        <v>81</v>
      </c>
      <c r="BR395" t="s">
        <v>82</v>
      </c>
      <c r="BS395" s="3">
        <v>45995</v>
      </c>
      <c r="BT395" s="4">
        <v>0.41666666666666669</v>
      </c>
      <c r="BU395" t="s">
        <v>83</v>
      </c>
      <c r="BV395" t="s">
        <v>84</v>
      </c>
      <c r="BY395">
        <v>3306</v>
      </c>
      <c r="CA395" t="s">
        <v>85</v>
      </c>
      <c r="CC395" t="s">
        <v>76</v>
      </c>
      <c r="CD395">
        <v>1619</v>
      </c>
      <c r="CE395" t="s">
        <v>86</v>
      </c>
      <c r="CF395" s="3">
        <v>45995</v>
      </c>
      <c r="CI395">
        <v>1</v>
      </c>
      <c r="CJ395">
        <v>1</v>
      </c>
      <c r="CK395">
        <v>22</v>
      </c>
      <c r="CL395" t="s">
        <v>87</v>
      </c>
    </row>
    <row r="396" spans="1:90" x14ac:dyDescent="0.3">
      <c r="A396" t="s">
        <v>72</v>
      </c>
      <c r="B396" t="s">
        <v>73</v>
      </c>
      <c r="C396" t="s">
        <v>74</v>
      </c>
      <c r="E396" t="str">
        <f>"080069651760"</f>
        <v>080069651760</v>
      </c>
      <c r="F396" s="3">
        <v>45994</v>
      </c>
      <c r="G396">
        <v>202609</v>
      </c>
      <c r="H396" t="s">
        <v>75</v>
      </c>
      <c r="I396" t="s">
        <v>76</v>
      </c>
      <c r="J396" t="s">
        <v>77</v>
      </c>
      <c r="K396" t="s">
        <v>78</v>
      </c>
      <c r="L396" t="s">
        <v>202</v>
      </c>
      <c r="M396" t="s">
        <v>203</v>
      </c>
      <c r="N396" t="s">
        <v>204</v>
      </c>
      <c r="O396" t="s">
        <v>89</v>
      </c>
      <c r="P396" t="str">
        <f>"4170071697                    "</f>
        <v xml:space="preserve">4170071697                    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49.45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0</v>
      </c>
      <c r="AX396">
        <v>0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1</v>
      </c>
      <c r="BI396">
        <v>1</v>
      </c>
      <c r="BJ396">
        <v>1.7</v>
      </c>
      <c r="BK396">
        <v>2</v>
      </c>
      <c r="BL396">
        <v>147.38</v>
      </c>
      <c r="BM396">
        <v>22.11</v>
      </c>
      <c r="BN396">
        <v>169.49</v>
      </c>
      <c r="BO396">
        <v>169.49</v>
      </c>
      <c r="BQ396" t="s">
        <v>205</v>
      </c>
      <c r="BR396" t="s">
        <v>82</v>
      </c>
      <c r="BS396" s="3">
        <v>45995</v>
      </c>
      <c r="BT396" s="4">
        <v>0.42152777777777778</v>
      </c>
      <c r="BU396" t="s">
        <v>1059</v>
      </c>
      <c r="BV396" t="s">
        <v>84</v>
      </c>
      <c r="BY396">
        <v>8410.5</v>
      </c>
      <c r="CA396" t="s">
        <v>207</v>
      </c>
      <c r="CC396" t="s">
        <v>203</v>
      </c>
      <c r="CD396">
        <v>2531</v>
      </c>
      <c r="CE396" t="s">
        <v>134</v>
      </c>
      <c r="CF396" s="3">
        <v>45996</v>
      </c>
      <c r="CI396">
        <v>1</v>
      </c>
      <c r="CJ396">
        <v>1</v>
      </c>
      <c r="CK396">
        <v>23</v>
      </c>
      <c r="CL396" t="s">
        <v>87</v>
      </c>
    </row>
    <row r="397" spans="1:90" x14ac:dyDescent="0.3">
      <c r="A397" t="s">
        <v>72</v>
      </c>
      <c r="B397" t="s">
        <v>73</v>
      </c>
      <c r="C397" t="s">
        <v>74</v>
      </c>
      <c r="E397" t="str">
        <f>"080069651806"</f>
        <v>080069651806</v>
      </c>
      <c r="F397" s="3">
        <v>45994</v>
      </c>
      <c r="G397">
        <v>202609</v>
      </c>
      <c r="H397" t="s">
        <v>75</v>
      </c>
      <c r="I397" t="s">
        <v>76</v>
      </c>
      <c r="J397" t="s">
        <v>77</v>
      </c>
      <c r="K397" t="s">
        <v>78</v>
      </c>
      <c r="L397" t="s">
        <v>75</v>
      </c>
      <c r="M397" t="s">
        <v>76</v>
      </c>
      <c r="N397" t="s">
        <v>1060</v>
      </c>
      <c r="O397" t="s">
        <v>89</v>
      </c>
      <c r="P397" t="str">
        <f>"4170071655                    "</f>
        <v xml:space="preserve">4170071655                    </v>
      </c>
      <c r="Q397">
        <v>0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19.940000000000001</v>
      </c>
      <c r="AR397">
        <v>0</v>
      </c>
      <c r="AS397">
        <v>0</v>
      </c>
      <c r="AT397">
        <v>0</v>
      </c>
      <c r="AU397">
        <v>0</v>
      </c>
      <c r="AV397">
        <v>0</v>
      </c>
      <c r="AW397">
        <v>0</v>
      </c>
      <c r="AX397">
        <v>0</v>
      </c>
      <c r="AY397">
        <v>0</v>
      </c>
      <c r="AZ397">
        <v>0</v>
      </c>
      <c r="BA397">
        <v>0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1</v>
      </c>
      <c r="BI397">
        <v>0.7</v>
      </c>
      <c r="BJ397">
        <v>1.4</v>
      </c>
      <c r="BK397">
        <v>2</v>
      </c>
      <c r="BL397">
        <v>59.42</v>
      </c>
      <c r="BM397">
        <v>8.91</v>
      </c>
      <c r="BN397">
        <v>68.33</v>
      </c>
      <c r="BO397">
        <v>68.33</v>
      </c>
      <c r="BQ397" t="s">
        <v>1061</v>
      </c>
      <c r="BR397" t="s">
        <v>82</v>
      </c>
      <c r="BS397" s="3">
        <v>45995</v>
      </c>
      <c r="BT397" s="4">
        <v>0.4375</v>
      </c>
      <c r="BU397" t="s">
        <v>1062</v>
      </c>
      <c r="BV397" t="s">
        <v>84</v>
      </c>
      <c r="BY397">
        <v>7115.04</v>
      </c>
      <c r="CA397" t="s">
        <v>92</v>
      </c>
      <c r="CC397" t="s">
        <v>76</v>
      </c>
      <c r="CD397">
        <v>1624</v>
      </c>
      <c r="CE397" t="s">
        <v>134</v>
      </c>
      <c r="CF397" s="3">
        <v>45996</v>
      </c>
      <c r="CI397">
        <v>1</v>
      </c>
      <c r="CJ397">
        <v>1</v>
      </c>
      <c r="CK397">
        <v>22</v>
      </c>
      <c r="CL397" t="s">
        <v>87</v>
      </c>
    </row>
    <row r="398" spans="1:90" x14ac:dyDescent="0.3">
      <c r="A398" t="s">
        <v>72</v>
      </c>
      <c r="B398" t="s">
        <v>73</v>
      </c>
      <c r="C398" t="s">
        <v>74</v>
      </c>
      <c r="E398" t="str">
        <f>"080069651845"</f>
        <v>080069651845</v>
      </c>
      <c r="F398" s="3">
        <v>45994</v>
      </c>
      <c r="G398">
        <v>202609</v>
      </c>
      <c r="H398" t="s">
        <v>75</v>
      </c>
      <c r="I398" t="s">
        <v>76</v>
      </c>
      <c r="J398" t="s">
        <v>77</v>
      </c>
      <c r="K398" t="s">
        <v>78</v>
      </c>
      <c r="L398" t="s">
        <v>176</v>
      </c>
      <c r="M398" t="s">
        <v>177</v>
      </c>
      <c r="N398" t="s">
        <v>1063</v>
      </c>
      <c r="O398" t="s">
        <v>89</v>
      </c>
      <c r="P398" t="str">
        <f>"4170071563                    "</f>
        <v xml:space="preserve">4170071563                    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19.940000000000001</v>
      </c>
      <c r="AR398">
        <v>0</v>
      </c>
      <c r="AS398">
        <v>0</v>
      </c>
      <c r="AT398">
        <v>0</v>
      </c>
      <c r="AU398">
        <v>0</v>
      </c>
      <c r="AV398">
        <v>0</v>
      </c>
      <c r="AW398">
        <v>0</v>
      </c>
      <c r="AX398">
        <v>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1</v>
      </c>
      <c r="BI398">
        <v>0.7</v>
      </c>
      <c r="BJ398">
        <v>0.8</v>
      </c>
      <c r="BK398">
        <v>1</v>
      </c>
      <c r="BL398">
        <v>59.42</v>
      </c>
      <c r="BM398">
        <v>8.91</v>
      </c>
      <c r="BN398">
        <v>68.33</v>
      </c>
      <c r="BO398">
        <v>68.33</v>
      </c>
      <c r="BQ398" t="s">
        <v>1064</v>
      </c>
      <c r="BR398" t="s">
        <v>82</v>
      </c>
      <c r="BS398" s="3">
        <v>45995</v>
      </c>
      <c r="BT398" s="4">
        <v>0.35902777777777778</v>
      </c>
      <c r="BU398" t="s">
        <v>1065</v>
      </c>
      <c r="BV398" t="s">
        <v>84</v>
      </c>
      <c r="BY398">
        <v>4108.7</v>
      </c>
      <c r="CA398" t="s">
        <v>182</v>
      </c>
      <c r="CC398" t="s">
        <v>177</v>
      </c>
      <c r="CD398">
        <v>2197</v>
      </c>
      <c r="CE398" t="s">
        <v>134</v>
      </c>
      <c r="CF398" s="3">
        <v>45995</v>
      </c>
      <c r="CI398">
        <v>1</v>
      </c>
      <c r="CJ398">
        <v>1</v>
      </c>
      <c r="CK398">
        <v>22</v>
      </c>
      <c r="CL398" t="s">
        <v>87</v>
      </c>
    </row>
    <row r="399" spans="1:90" x14ac:dyDescent="0.3">
      <c r="A399" t="s">
        <v>72</v>
      </c>
      <c r="B399" t="s">
        <v>73</v>
      </c>
      <c r="C399" t="s">
        <v>74</v>
      </c>
      <c r="E399" t="str">
        <f>"080069651861"</f>
        <v>080069651861</v>
      </c>
      <c r="F399" s="3">
        <v>45994</v>
      </c>
      <c r="G399">
        <v>202609</v>
      </c>
      <c r="H399" t="s">
        <v>75</v>
      </c>
      <c r="I399" t="s">
        <v>76</v>
      </c>
      <c r="J399" t="s">
        <v>77</v>
      </c>
      <c r="K399" t="s">
        <v>78</v>
      </c>
      <c r="L399" t="s">
        <v>302</v>
      </c>
      <c r="M399" t="s">
        <v>303</v>
      </c>
      <c r="N399" t="s">
        <v>425</v>
      </c>
      <c r="O399" t="s">
        <v>80</v>
      </c>
      <c r="P399" t="str">
        <f>"4170071725                    "</f>
        <v xml:space="preserve">4170071725                    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49.36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0</v>
      </c>
      <c r="AX399">
        <v>0</v>
      </c>
      <c r="AY399">
        <v>0</v>
      </c>
      <c r="AZ399">
        <v>0</v>
      </c>
      <c r="BA399">
        <v>0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1</v>
      </c>
      <c r="BI399">
        <v>6</v>
      </c>
      <c r="BJ399">
        <v>2.5</v>
      </c>
      <c r="BK399">
        <v>6</v>
      </c>
      <c r="BL399">
        <v>153.19999999999999</v>
      </c>
      <c r="BM399">
        <v>22.98</v>
      </c>
      <c r="BN399">
        <v>176.18</v>
      </c>
      <c r="BO399">
        <v>176.18</v>
      </c>
      <c r="BQ399" t="s">
        <v>426</v>
      </c>
      <c r="BR399" t="s">
        <v>82</v>
      </c>
      <c r="BS399" s="3">
        <v>45995</v>
      </c>
      <c r="BT399" s="4">
        <v>0.40347222222222223</v>
      </c>
      <c r="BU399" t="s">
        <v>1066</v>
      </c>
      <c r="BV399" t="s">
        <v>84</v>
      </c>
      <c r="BY399">
        <v>12673</v>
      </c>
      <c r="CA399">
        <v>7712195338085</v>
      </c>
      <c r="CC399" t="s">
        <v>303</v>
      </c>
      <c r="CD399" s="5" t="s">
        <v>350</v>
      </c>
      <c r="CE399" t="s">
        <v>654</v>
      </c>
      <c r="CF399" s="3">
        <v>45995</v>
      </c>
      <c r="CI399">
        <v>1</v>
      </c>
      <c r="CJ399">
        <v>1</v>
      </c>
      <c r="CK399">
        <v>41</v>
      </c>
      <c r="CL399" t="s">
        <v>87</v>
      </c>
    </row>
    <row r="400" spans="1:90" x14ac:dyDescent="0.3">
      <c r="A400" t="s">
        <v>72</v>
      </c>
      <c r="B400" t="s">
        <v>73</v>
      </c>
      <c r="C400" t="s">
        <v>74</v>
      </c>
      <c r="E400" t="str">
        <f>"080069651911"</f>
        <v>080069651911</v>
      </c>
      <c r="F400" s="3">
        <v>45994</v>
      </c>
      <c r="G400">
        <v>202609</v>
      </c>
      <c r="H400" t="s">
        <v>75</v>
      </c>
      <c r="I400" t="s">
        <v>76</v>
      </c>
      <c r="J400" t="s">
        <v>77</v>
      </c>
      <c r="K400" t="s">
        <v>78</v>
      </c>
      <c r="L400" t="s">
        <v>100</v>
      </c>
      <c r="M400" t="s">
        <v>101</v>
      </c>
      <c r="N400" t="s">
        <v>1067</v>
      </c>
      <c r="O400" t="s">
        <v>89</v>
      </c>
      <c r="P400" t="str">
        <f>"4170071672                    "</f>
        <v xml:space="preserve">4170071672                    </v>
      </c>
      <c r="Q400">
        <v>0</v>
      </c>
      <c r="R400">
        <v>0</v>
      </c>
      <c r="S400">
        <v>0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25.52</v>
      </c>
      <c r="AR400">
        <v>0</v>
      </c>
      <c r="AS400">
        <v>0</v>
      </c>
      <c r="AT400">
        <v>0</v>
      </c>
      <c r="AU400">
        <v>0</v>
      </c>
      <c r="AV400">
        <v>0</v>
      </c>
      <c r="AW400">
        <v>0</v>
      </c>
      <c r="AX400">
        <v>0</v>
      </c>
      <c r="AY400">
        <v>0</v>
      </c>
      <c r="AZ400">
        <v>0</v>
      </c>
      <c r="BA400">
        <v>0</v>
      </c>
      <c r="BB400">
        <v>0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1</v>
      </c>
      <c r="BI400">
        <v>2</v>
      </c>
      <c r="BJ400">
        <v>0.9</v>
      </c>
      <c r="BK400">
        <v>2</v>
      </c>
      <c r="BL400">
        <v>76.06</v>
      </c>
      <c r="BM400">
        <v>11.41</v>
      </c>
      <c r="BN400">
        <v>87.47</v>
      </c>
      <c r="BO400">
        <v>87.47</v>
      </c>
      <c r="BQ400" t="s">
        <v>1068</v>
      </c>
      <c r="BR400" t="s">
        <v>82</v>
      </c>
      <c r="BS400" s="3">
        <v>45995</v>
      </c>
      <c r="BT400" s="4">
        <v>0.41458333333333336</v>
      </c>
      <c r="BU400" t="s">
        <v>1069</v>
      </c>
      <c r="BV400" t="s">
        <v>84</v>
      </c>
      <c r="BY400">
        <v>4275</v>
      </c>
      <c r="BZ400" t="s">
        <v>271</v>
      </c>
      <c r="CA400" t="s">
        <v>1070</v>
      </c>
      <c r="CC400" t="s">
        <v>101</v>
      </c>
      <c r="CD400">
        <v>4051</v>
      </c>
      <c r="CE400" t="s">
        <v>147</v>
      </c>
      <c r="CF400" s="3">
        <v>45995</v>
      </c>
      <c r="CI400">
        <v>1</v>
      </c>
      <c r="CJ400">
        <v>1</v>
      </c>
      <c r="CK400">
        <v>21</v>
      </c>
      <c r="CL400" t="s">
        <v>87</v>
      </c>
    </row>
    <row r="401" spans="1:90" x14ac:dyDescent="0.3">
      <c r="A401" t="s">
        <v>72</v>
      </c>
      <c r="B401" t="s">
        <v>73</v>
      </c>
      <c r="C401" t="s">
        <v>74</v>
      </c>
      <c r="E401" t="str">
        <f>"080069651952"</f>
        <v>080069651952</v>
      </c>
      <c r="F401" s="3">
        <v>45994</v>
      </c>
      <c r="G401">
        <v>202609</v>
      </c>
      <c r="H401" t="s">
        <v>75</v>
      </c>
      <c r="I401" t="s">
        <v>76</v>
      </c>
      <c r="J401" t="s">
        <v>77</v>
      </c>
      <c r="K401" t="s">
        <v>78</v>
      </c>
      <c r="L401" t="s">
        <v>535</v>
      </c>
      <c r="M401" t="s">
        <v>535</v>
      </c>
      <c r="N401" t="s">
        <v>536</v>
      </c>
      <c r="O401" t="s">
        <v>89</v>
      </c>
      <c r="P401" t="str">
        <f>"4170071758                    "</f>
        <v xml:space="preserve">4170071758                    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0</v>
      </c>
      <c r="AG401">
        <v>0</v>
      </c>
      <c r="AH401">
        <v>0</v>
      </c>
      <c r="AI401">
        <v>0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71.790000000000006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0</v>
      </c>
      <c r="AX401">
        <v>0</v>
      </c>
      <c r="AY401">
        <v>0</v>
      </c>
      <c r="AZ401">
        <v>0</v>
      </c>
      <c r="BA401">
        <v>0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1</v>
      </c>
      <c r="BI401">
        <v>3</v>
      </c>
      <c r="BJ401">
        <v>1.1000000000000001</v>
      </c>
      <c r="BK401">
        <v>3</v>
      </c>
      <c r="BL401">
        <v>213.94</v>
      </c>
      <c r="BM401">
        <v>32.090000000000003</v>
      </c>
      <c r="BN401">
        <v>246.03</v>
      </c>
      <c r="BO401">
        <v>246.03</v>
      </c>
      <c r="BQ401" t="s">
        <v>537</v>
      </c>
      <c r="BR401" t="s">
        <v>82</v>
      </c>
      <c r="BS401" s="3">
        <v>45995</v>
      </c>
      <c r="BT401" s="4">
        <v>0.49652777777777779</v>
      </c>
      <c r="BU401" t="s">
        <v>1071</v>
      </c>
      <c r="BV401" t="s">
        <v>84</v>
      </c>
      <c r="BY401">
        <v>5510</v>
      </c>
      <c r="CA401" t="s">
        <v>539</v>
      </c>
      <c r="CC401" t="s">
        <v>535</v>
      </c>
      <c r="CD401">
        <v>7646</v>
      </c>
      <c r="CE401" t="s">
        <v>86</v>
      </c>
      <c r="CF401" s="3">
        <v>45996</v>
      </c>
      <c r="CI401">
        <v>1</v>
      </c>
      <c r="CJ401">
        <v>1</v>
      </c>
      <c r="CK401">
        <v>23</v>
      </c>
      <c r="CL401" t="s">
        <v>87</v>
      </c>
    </row>
    <row r="402" spans="1:90" x14ac:dyDescent="0.3">
      <c r="A402" t="s">
        <v>72</v>
      </c>
      <c r="B402" t="s">
        <v>73</v>
      </c>
      <c r="C402" t="s">
        <v>74</v>
      </c>
      <c r="E402" t="str">
        <f>"080069651999"</f>
        <v>080069651999</v>
      </c>
      <c r="F402" s="3">
        <v>45994</v>
      </c>
      <c r="G402">
        <v>202609</v>
      </c>
      <c r="H402" t="s">
        <v>75</v>
      </c>
      <c r="I402" t="s">
        <v>76</v>
      </c>
      <c r="J402" t="s">
        <v>77</v>
      </c>
      <c r="K402" t="s">
        <v>78</v>
      </c>
      <c r="L402" t="s">
        <v>75</v>
      </c>
      <c r="M402" t="s">
        <v>76</v>
      </c>
      <c r="N402" t="s">
        <v>1072</v>
      </c>
      <c r="O402" t="s">
        <v>340</v>
      </c>
      <c r="P402" t="str">
        <f>"4170071718                    "</f>
        <v xml:space="preserve">4170071718                    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0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19.940000000000001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0</v>
      </c>
      <c r="AX402">
        <v>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1</v>
      </c>
      <c r="BI402">
        <v>2</v>
      </c>
      <c r="BJ402">
        <v>5</v>
      </c>
      <c r="BK402">
        <v>5</v>
      </c>
      <c r="BL402">
        <v>59.43</v>
      </c>
      <c r="BM402">
        <v>8.91</v>
      </c>
      <c r="BN402">
        <v>68.34</v>
      </c>
      <c r="BO402">
        <v>68.34</v>
      </c>
      <c r="BQ402" t="s">
        <v>1073</v>
      </c>
      <c r="BR402" t="s">
        <v>82</v>
      </c>
      <c r="BS402" s="3">
        <v>45995</v>
      </c>
      <c r="BT402" s="4">
        <v>0.41041666666666665</v>
      </c>
      <c r="BU402" t="s">
        <v>1074</v>
      </c>
      <c r="BV402" t="s">
        <v>84</v>
      </c>
      <c r="BY402">
        <v>24882</v>
      </c>
      <c r="CC402" t="s">
        <v>76</v>
      </c>
      <c r="CD402">
        <v>1614</v>
      </c>
      <c r="CE402" t="s">
        <v>86</v>
      </c>
      <c r="CF402" s="3">
        <v>45996</v>
      </c>
      <c r="CI402">
        <v>1</v>
      </c>
      <c r="CJ402">
        <v>1</v>
      </c>
      <c r="CK402">
        <v>32</v>
      </c>
      <c r="CL402" t="s">
        <v>87</v>
      </c>
    </row>
    <row r="403" spans="1:90" x14ac:dyDescent="0.3">
      <c r="A403" t="s">
        <v>72</v>
      </c>
      <c r="B403" t="s">
        <v>73</v>
      </c>
      <c r="C403" t="s">
        <v>74</v>
      </c>
      <c r="E403" t="str">
        <f>"080069652365"</f>
        <v>080069652365</v>
      </c>
      <c r="F403" s="3">
        <v>45994</v>
      </c>
      <c r="G403">
        <v>202609</v>
      </c>
      <c r="H403" t="s">
        <v>75</v>
      </c>
      <c r="I403" t="s">
        <v>76</v>
      </c>
      <c r="J403" t="s">
        <v>77</v>
      </c>
      <c r="K403" t="s">
        <v>78</v>
      </c>
      <c r="L403" t="s">
        <v>241</v>
      </c>
      <c r="M403" t="s">
        <v>242</v>
      </c>
      <c r="N403" t="s">
        <v>243</v>
      </c>
      <c r="O403" t="s">
        <v>89</v>
      </c>
      <c r="P403" t="str">
        <f>"4170071711                    "</f>
        <v xml:space="preserve">4170071711                    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0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25.52</v>
      </c>
      <c r="AR403">
        <v>0</v>
      </c>
      <c r="AS403">
        <v>0</v>
      </c>
      <c r="AT403">
        <v>0</v>
      </c>
      <c r="AU403">
        <v>0</v>
      </c>
      <c r="AV403">
        <v>0</v>
      </c>
      <c r="AW403">
        <v>0</v>
      </c>
      <c r="AX403">
        <v>0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1</v>
      </c>
      <c r="BI403">
        <v>1</v>
      </c>
      <c r="BJ403">
        <v>0.2</v>
      </c>
      <c r="BK403">
        <v>1</v>
      </c>
      <c r="BL403">
        <v>76.06</v>
      </c>
      <c r="BM403">
        <v>11.41</v>
      </c>
      <c r="BN403">
        <v>87.47</v>
      </c>
      <c r="BO403">
        <v>87.47</v>
      </c>
      <c r="BQ403" t="s">
        <v>244</v>
      </c>
      <c r="BR403" t="s">
        <v>82</v>
      </c>
      <c r="BS403" s="3">
        <v>45995</v>
      </c>
      <c r="BT403" s="4">
        <v>0.37361111111111112</v>
      </c>
      <c r="BU403" t="s">
        <v>1075</v>
      </c>
      <c r="BV403" t="s">
        <v>84</v>
      </c>
      <c r="BY403">
        <v>1200</v>
      </c>
      <c r="CC403" t="s">
        <v>242</v>
      </c>
      <c r="CD403">
        <v>4302</v>
      </c>
      <c r="CE403" t="s">
        <v>134</v>
      </c>
      <c r="CF403" s="3">
        <v>45996</v>
      </c>
      <c r="CI403">
        <v>1</v>
      </c>
      <c r="CJ403">
        <v>1</v>
      </c>
      <c r="CK403">
        <v>21</v>
      </c>
      <c r="CL403" t="s">
        <v>87</v>
      </c>
    </row>
    <row r="404" spans="1:90" x14ac:dyDescent="0.3">
      <c r="A404" t="s">
        <v>72</v>
      </c>
      <c r="B404" t="s">
        <v>73</v>
      </c>
      <c r="C404" t="s">
        <v>74</v>
      </c>
      <c r="E404" t="str">
        <f>"080069652391"</f>
        <v>080069652391</v>
      </c>
      <c r="F404" s="3">
        <v>45994</v>
      </c>
      <c r="G404">
        <v>202609</v>
      </c>
      <c r="H404" t="s">
        <v>75</v>
      </c>
      <c r="I404" t="s">
        <v>76</v>
      </c>
      <c r="J404" t="s">
        <v>77</v>
      </c>
      <c r="K404" t="s">
        <v>78</v>
      </c>
      <c r="L404" t="s">
        <v>781</v>
      </c>
      <c r="M404" t="s">
        <v>782</v>
      </c>
      <c r="N404" t="s">
        <v>807</v>
      </c>
      <c r="O404" t="s">
        <v>89</v>
      </c>
      <c r="P404" t="str">
        <f>"4170071724                    "</f>
        <v xml:space="preserve">4170071724                    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25.52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0</v>
      </c>
      <c r="AX404">
        <v>0</v>
      </c>
      <c r="AY404">
        <v>0</v>
      </c>
      <c r="AZ404">
        <v>0</v>
      </c>
      <c r="BA404">
        <v>0</v>
      </c>
      <c r="BB404">
        <v>0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1</v>
      </c>
      <c r="BI404">
        <v>1</v>
      </c>
      <c r="BJ404">
        <v>0.2</v>
      </c>
      <c r="BK404">
        <v>1</v>
      </c>
      <c r="BL404">
        <v>76.06</v>
      </c>
      <c r="BM404">
        <v>11.41</v>
      </c>
      <c r="BN404">
        <v>87.47</v>
      </c>
      <c r="BO404">
        <v>87.47</v>
      </c>
      <c r="BQ404" t="s">
        <v>808</v>
      </c>
      <c r="BR404" t="s">
        <v>82</v>
      </c>
      <c r="BS404" s="3">
        <v>45995</v>
      </c>
      <c r="BT404" s="4">
        <v>0.54861111111111116</v>
      </c>
      <c r="BU404" t="s">
        <v>1076</v>
      </c>
      <c r="BV404" t="s">
        <v>87</v>
      </c>
      <c r="BW404" t="s">
        <v>246</v>
      </c>
      <c r="BX404" t="s">
        <v>810</v>
      </c>
      <c r="BY404">
        <v>1200</v>
      </c>
      <c r="CA404" t="s">
        <v>630</v>
      </c>
      <c r="CC404" t="s">
        <v>782</v>
      </c>
      <c r="CD404">
        <v>4113</v>
      </c>
      <c r="CE404" t="s">
        <v>134</v>
      </c>
      <c r="CF404" s="3">
        <v>45996</v>
      </c>
      <c r="CI404">
        <v>1</v>
      </c>
      <c r="CJ404">
        <v>1</v>
      </c>
      <c r="CK404">
        <v>21</v>
      </c>
      <c r="CL404" t="s">
        <v>87</v>
      </c>
    </row>
    <row r="405" spans="1:90" x14ac:dyDescent="0.3">
      <c r="A405" t="s">
        <v>72</v>
      </c>
      <c r="B405" t="s">
        <v>73</v>
      </c>
      <c r="C405" t="s">
        <v>74</v>
      </c>
      <c r="E405" t="str">
        <f>"080069652468"</f>
        <v>080069652468</v>
      </c>
      <c r="F405" s="3">
        <v>45994</v>
      </c>
      <c r="G405">
        <v>202609</v>
      </c>
      <c r="H405" t="s">
        <v>75</v>
      </c>
      <c r="I405" t="s">
        <v>76</v>
      </c>
      <c r="J405" t="s">
        <v>77</v>
      </c>
      <c r="K405" t="s">
        <v>78</v>
      </c>
      <c r="L405" t="s">
        <v>75</v>
      </c>
      <c r="M405" t="s">
        <v>76</v>
      </c>
      <c r="N405" t="s">
        <v>79</v>
      </c>
      <c r="O405" t="s">
        <v>80</v>
      </c>
      <c r="P405" t="str">
        <f>"4170071641                    "</f>
        <v xml:space="preserve">4170071641                    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0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101.41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0</v>
      </c>
      <c r="AX405">
        <v>0</v>
      </c>
      <c r="AY405">
        <v>0</v>
      </c>
      <c r="AZ405">
        <v>0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3</v>
      </c>
      <c r="BI405">
        <v>36</v>
      </c>
      <c r="BJ405">
        <v>72</v>
      </c>
      <c r="BK405">
        <v>72</v>
      </c>
      <c r="BL405">
        <v>308.33</v>
      </c>
      <c r="BM405">
        <v>46.25</v>
      </c>
      <c r="BN405">
        <v>354.58</v>
      </c>
      <c r="BO405">
        <v>354.58</v>
      </c>
      <c r="BQ405" t="s">
        <v>81</v>
      </c>
      <c r="BR405" t="s">
        <v>82</v>
      </c>
      <c r="BS405" s="3">
        <v>45995</v>
      </c>
      <c r="BT405" s="4">
        <v>0.41666666666666669</v>
      </c>
      <c r="BU405" t="s">
        <v>83</v>
      </c>
      <c r="BV405" t="s">
        <v>84</v>
      </c>
      <c r="BY405">
        <v>359928</v>
      </c>
      <c r="CA405" t="s">
        <v>85</v>
      </c>
      <c r="CC405" t="s">
        <v>76</v>
      </c>
      <c r="CD405">
        <v>1619</v>
      </c>
      <c r="CE405" t="s">
        <v>93</v>
      </c>
      <c r="CF405" s="3">
        <v>45995</v>
      </c>
      <c r="CI405">
        <v>1</v>
      </c>
      <c r="CJ405">
        <v>1</v>
      </c>
      <c r="CK405">
        <v>42</v>
      </c>
      <c r="CL405" t="s">
        <v>87</v>
      </c>
    </row>
    <row r="406" spans="1:90" x14ac:dyDescent="0.3">
      <c r="A406" t="s">
        <v>72</v>
      </c>
      <c r="B406" t="s">
        <v>73</v>
      </c>
      <c r="C406" t="s">
        <v>74</v>
      </c>
      <c r="E406" t="str">
        <f>"080069652540"</f>
        <v>080069652540</v>
      </c>
      <c r="F406" s="3">
        <v>45994</v>
      </c>
      <c r="G406">
        <v>202609</v>
      </c>
      <c r="H406" t="s">
        <v>75</v>
      </c>
      <c r="I406" t="s">
        <v>76</v>
      </c>
      <c r="J406" t="s">
        <v>77</v>
      </c>
      <c r="K406" t="s">
        <v>78</v>
      </c>
      <c r="L406" t="s">
        <v>94</v>
      </c>
      <c r="M406" t="s">
        <v>95</v>
      </c>
      <c r="N406" t="s">
        <v>1077</v>
      </c>
      <c r="O406" t="s">
        <v>89</v>
      </c>
      <c r="P406" t="str">
        <f>"4170071688                    "</f>
        <v xml:space="preserve">4170071688                    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0</v>
      </c>
      <c r="AJ406">
        <v>0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82.93</v>
      </c>
      <c r="AR406">
        <v>0</v>
      </c>
      <c r="AS406">
        <v>0</v>
      </c>
      <c r="AT406">
        <v>0</v>
      </c>
      <c r="AU406">
        <v>0</v>
      </c>
      <c r="AV406">
        <v>0</v>
      </c>
      <c r="AW406">
        <v>0</v>
      </c>
      <c r="AX406">
        <v>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1</v>
      </c>
      <c r="BI406">
        <v>3</v>
      </c>
      <c r="BJ406">
        <v>6.1</v>
      </c>
      <c r="BK406">
        <v>6.5</v>
      </c>
      <c r="BL406">
        <v>247.14</v>
      </c>
      <c r="BM406">
        <v>37.07</v>
      </c>
      <c r="BN406">
        <v>284.20999999999998</v>
      </c>
      <c r="BO406">
        <v>284.20999999999998</v>
      </c>
      <c r="BQ406" t="s">
        <v>1078</v>
      </c>
      <c r="BR406" t="s">
        <v>82</v>
      </c>
      <c r="BS406" s="3">
        <v>45995</v>
      </c>
      <c r="BT406" s="4">
        <v>0.41041666666666665</v>
      </c>
      <c r="BU406" t="s">
        <v>1079</v>
      </c>
      <c r="BV406" t="s">
        <v>84</v>
      </c>
      <c r="BY406">
        <v>30600</v>
      </c>
      <c r="CA406" t="s">
        <v>99</v>
      </c>
      <c r="CC406" t="s">
        <v>95</v>
      </c>
      <c r="CD406">
        <v>3600</v>
      </c>
      <c r="CE406" t="s">
        <v>93</v>
      </c>
      <c r="CF406" s="3">
        <v>45995</v>
      </c>
      <c r="CI406">
        <v>1</v>
      </c>
      <c r="CJ406">
        <v>1</v>
      </c>
      <c r="CK406">
        <v>21</v>
      </c>
      <c r="CL406" t="s">
        <v>87</v>
      </c>
    </row>
    <row r="407" spans="1:90" x14ac:dyDescent="0.3">
      <c r="A407" t="s">
        <v>72</v>
      </c>
      <c r="B407" t="s">
        <v>73</v>
      </c>
      <c r="C407" t="s">
        <v>74</v>
      </c>
      <c r="E407" t="str">
        <f>"080069652822"</f>
        <v>080069652822</v>
      </c>
      <c r="F407" s="3">
        <v>45994</v>
      </c>
      <c r="G407">
        <v>202609</v>
      </c>
      <c r="H407" t="s">
        <v>75</v>
      </c>
      <c r="I407" t="s">
        <v>76</v>
      </c>
      <c r="J407" t="s">
        <v>77</v>
      </c>
      <c r="K407" t="s">
        <v>78</v>
      </c>
      <c r="L407" t="s">
        <v>1080</v>
      </c>
      <c r="M407" t="s">
        <v>1081</v>
      </c>
      <c r="N407" t="s">
        <v>1082</v>
      </c>
      <c r="O407" t="s">
        <v>89</v>
      </c>
      <c r="P407" t="str">
        <f>"4170071716                    "</f>
        <v xml:space="preserve">4170071716                    </v>
      </c>
      <c r="Q407">
        <v>0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0</v>
      </c>
      <c r="AJ407">
        <v>0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138.78</v>
      </c>
      <c r="AR407">
        <v>0</v>
      </c>
      <c r="AS407">
        <v>0</v>
      </c>
      <c r="AT407">
        <v>0</v>
      </c>
      <c r="AU407">
        <v>0</v>
      </c>
      <c r="AV407">
        <v>0</v>
      </c>
      <c r="AW407">
        <v>0</v>
      </c>
      <c r="AX407">
        <v>0</v>
      </c>
      <c r="AY407">
        <v>0</v>
      </c>
      <c r="AZ407">
        <v>0</v>
      </c>
      <c r="BA407">
        <v>0</v>
      </c>
      <c r="BB407">
        <v>0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1</v>
      </c>
      <c r="BI407">
        <v>6</v>
      </c>
      <c r="BJ407">
        <v>1.7</v>
      </c>
      <c r="BK407">
        <v>6</v>
      </c>
      <c r="BL407">
        <v>413.59</v>
      </c>
      <c r="BM407">
        <v>62.04</v>
      </c>
      <c r="BN407">
        <v>475.63</v>
      </c>
      <c r="BO407">
        <v>475.63</v>
      </c>
      <c r="BQ407" t="s">
        <v>1083</v>
      </c>
      <c r="BR407" t="s">
        <v>82</v>
      </c>
      <c r="BS407" s="3">
        <v>45996</v>
      </c>
      <c r="BT407" s="4">
        <v>0.63958333333333328</v>
      </c>
      <c r="BU407" t="s">
        <v>1084</v>
      </c>
      <c r="BV407" t="s">
        <v>87</v>
      </c>
      <c r="BW407" t="s">
        <v>153</v>
      </c>
      <c r="BX407" t="s">
        <v>996</v>
      </c>
      <c r="BY407">
        <v>8586</v>
      </c>
      <c r="CA407" t="s">
        <v>1085</v>
      </c>
      <c r="CC407" t="s">
        <v>1081</v>
      </c>
      <c r="CD407">
        <v>7349</v>
      </c>
      <c r="CE407" t="s">
        <v>93</v>
      </c>
      <c r="CF407" s="3">
        <v>45999</v>
      </c>
      <c r="CI407">
        <v>1</v>
      </c>
      <c r="CJ407">
        <v>2</v>
      </c>
      <c r="CK407">
        <v>23</v>
      </c>
      <c r="CL407" t="s">
        <v>87</v>
      </c>
    </row>
    <row r="408" spans="1:90" x14ac:dyDescent="0.3">
      <c r="A408" t="s">
        <v>72</v>
      </c>
      <c r="B408" t="s">
        <v>73</v>
      </c>
      <c r="C408" t="s">
        <v>74</v>
      </c>
      <c r="E408" t="str">
        <f>"080069652877"</f>
        <v>080069652877</v>
      </c>
      <c r="F408" s="3">
        <v>45994</v>
      </c>
      <c r="G408">
        <v>202609</v>
      </c>
      <c r="H408" t="s">
        <v>75</v>
      </c>
      <c r="I408" t="s">
        <v>76</v>
      </c>
      <c r="J408" t="s">
        <v>77</v>
      </c>
      <c r="K408" t="s">
        <v>78</v>
      </c>
      <c r="L408" t="s">
        <v>141</v>
      </c>
      <c r="M408" t="s">
        <v>142</v>
      </c>
      <c r="N408" t="s">
        <v>856</v>
      </c>
      <c r="O408" t="s">
        <v>89</v>
      </c>
      <c r="P408" t="str">
        <f>"4170071712                    "</f>
        <v xml:space="preserve">4170071712                    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0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38.28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0</v>
      </c>
      <c r="AX408">
        <v>0</v>
      </c>
      <c r="AY408">
        <v>0</v>
      </c>
      <c r="AZ408">
        <v>0</v>
      </c>
      <c r="BA408">
        <v>0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1</v>
      </c>
      <c r="BI408">
        <v>3</v>
      </c>
      <c r="BJ408">
        <v>1.4</v>
      </c>
      <c r="BK408">
        <v>3</v>
      </c>
      <c r="BL408">
        <v>114.08</v>
      </c>
      <c r="BM408">
        <v>17.11</v>
      </c>
      <c r="BN408">
        <v>131.19</v>
      </c>
      <c r="BO408">
        <v>131.19</v>
      </c>
      <c r="BQ408" t="s">
        <v>857</v>
      </c>
      <c r="BR408" t="s">
        <v>82</v>
      </c>
      <c r="BS408" s="3">
        <v>45995</v>
      </c>
      <c r="BT408" s="4">
        <v>0.42499999999999999</v>
      </c>
      <c r="BU408" t="s">
        <v>858</v>
      </c>
      <c r="BV408" t="s">
        <v>84</v>
      </c>
      <c r="BY408">
        <v>7000</v>
      </c>
      <c r="BZ408" t="s">
        <v>271</v>
      </c>
      <c r="CA408" t="s">
        <v>146</v>
      </c>
      <c r="CC408" t="s">
        <v>142</v>
      </c>
      <c r="CD408">
        <v>6000</v>
      </c>
      <c r="CE408" t="s">
        <v>147</v>
      </c>
      <c r="CF408" s="3">
        <v>45995</v>
      </c>
      <c r="CI408">
        <v>1</v>
      </c>
      <c r="CJ408">
        <v>1</v>
      </c>
      <c r="CK408">
        <v>21</v>
      </c>
      <c r="CL408" t="s">
        <v>87</v>
      </c>
    </row>
    <row r="409" spans="1:90" x14ac:dyDescent="0.3">
      <c r="A409" t="s">
        <v>72</v>
      </c>
      <c r="B409" t="s">
        <v>73</v>
      </c>
      <c r="C409" t="s">
        <v>74</v>
      </c>
      <c r="E409" t="str">
        <f>"080069652955"</f>
        <v>080069652955</v>
      </c>
      <c r="F409" s="3">
        <v>45994</v>
      </c>
      <c r="G409">
        <v>202609</v>
      </c>
      <c r="H409" t="s">
        <v>75</v>
      </c>
      <c r="I409" t="s">
        <v>76</v>
      </c>
      <c r="J409" t="s">
        <v>77</v>
      </c>
      <c r="K409" t="s">
        <v>78</v>
      </c>
      <c r="L409" t="s">
        <v>120</v>
      </c>
      <c r="M409" t="s">
        <v>121</v>
      </c>
      <c r="N409" t="s">
        <v>163</v>
      </c>
      <c r="O409" t="s">
        <v>89</v>
      </c>
      <c r="P409" t="str">
        <f>"4170071659                    "</f>
        <v xml:space="preserve">4170071659                    </v>
      </c>
      <c r="Q409">
        <v>0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0</v>
      </c>
      <c r="AJ409">
        <v>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25.52</v>
      </c>
      <c r="AR409">
        <v>0</v>
      </c>
      <c r="AS409">
        <v>0</v>
      </c>
      <c r="AT409">
        <v>0</v>
      </c>
      <c r="AU409">
        <v>0</v>
      </c>
      <c r="AV409">
        <v>0</v>
      </c>
      <c r="AW409">
        <v>0</v>
      </c>
      <c r="AX409">
        <v>0</v>
      </c>
      <c r="AY409">
        <v>0</v>
      </c>
      <c r="AZ409">
        <v>0</v>
      </c>
      <c r="BA409">
        <v>0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1</v>
      </c>
      <c r="BI409">
        <v>1</v>
      </c>
      <c r="BJ409">
        <v>0.2</v>
      </c>
      <c r="BK409">
        <v>1</v>
      </c>
      <c r="BL409">
        <v>76.06</v>
      </c>
      <c r="BM409">
        <v>11.41</v>
      </c>
      <c r="BN409">
        <v>87.47</v>
      </c>
      <c r="BO409">
        <v>87.47</v>
      </c>
      <c r="BQ409" t="s">
        <v>164</v>
      </c>
      <c r="BR409" t="s">
        <v>82</v>
      </c>
      <c r="BS409" s="3">
        <v>45995</v>
      </c>
      <c r="BT409" s="4">
        <v>0.3347222222222222</v>
      </c>
      <c r="BU409" t="s">
        <v>165</v>
      </c>
      <c r="BV409" t="s">
        <v>84</v>
      </c>
      <c r="BY409">
        <v>1200</v>
      </c>
      <c r="CA409" t="s">
        <v>126</v>
      </c>
      <c r="CC409" t="s">
        <v>121</v>
      </c>
      <c r="CD409">
        <v>6230</v>
      </c>
      <c r="CE409" t="s">
        <v>134</v>
      </c>
      <c r="CF409" s="3">
        <v>45995</v>
      </c>
      <c r="CI409">
        <v>1</v>
      </c>
      <c r="CJ409">
        <v>1</v>
      </c>
      <c r="CK409">
        <v>21</v>
      </c>
      <c r="CL409" t="s">
        <v>87</v>
      </c>
    </row>
    <row r="410" spans="1:90" x14ac:dyDescent="0.3">
      <c r="A410" t="s">
        <v>72</v>
      </c>
      <c r="B410" t="s">
        <v>73</v>
      </c>
      <c r="C410" t="s">
        <v>74</v>
      </c>
      <c r="E410" t="str">
        <f>"080069653309"</f>
        <v>080069653309</v>
      </c>
      <c r="F410" s="3">
        <v>45994</v>
      </c>
      <c r="G410">
        <v>202609</v>
      </c>
      <c r="H410" t="s">
        <v>75</v>
      </c>
      <c r="I410" t="s">
        <v>76</v>
      </c>
      <c r="J410" t="s">
        <v>77</v>
      </c>
      <c r="K410" t="s">
        <v>78</v>
      </c>
      <c r="L410" t="s">
        <v>141</v>
      </c>
      <c r="M410" t="s">
        <v>142</v>
      </c>
      <c r="N410" t="s">
        <v>324</v>
      </c>
      <c r="O410" t="s">
        <v>89</v>
      </c>
      <c r="P410" t="str">
        <f>"4170071722                    "</f>
        <v xml:space="preserve">4170071722                    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146.71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0</v>
      </c>
      <c r="AX410">
        <v>0</v>
      </c>
      <c r="AY410">
        <v>0</v>
      </c>
      <c r="AZ410">
        <v>0</v>
      </c>
      <c r="BA410">
        <v>0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1</v>
      </c>
      <c r="BI410">
        <v>6</v>
      </c>
      <c r="BJ410">
        <v>11.5</v>
      </c>
      <c r="BK410">
        <v>11.5</v>
      </c>
      <c r="BL410">
        <v>437.22</v>
      </c>
      <c r="BM410">
        <v>65.58</v>
      </c>
      <c r="BN410">
        <v>502.8</v>
      </c>
      <c r="BO410">
        <v>502.8</v>
      </c>
      <c r="BQ410" t="s">
        <v>325</v>
      </c>
      <c r="BR410" t="s">
        <v>82</v>
      </c>
      <c r="BS410" s="3">
        <v>45995</v>
      </c>
      <c r="BT410" s="4">
        <v>0.43611111111111112</v>
      </c>
      <c r="BU410" t="s">
        <v>1086</v>
      </c>
      <c r="BV410" t="s">
        <v>84</v>
      </c>
      <c r="BY410">
        <v>57600</v>
      </c>
      <c r="BZ410" t="s">
        <v>271</v>
      </c>
      <c r="CC410" t="s">
        <v>142</v>
      </c>
      <c r="CD410">
        <v>6001</v>
      </c>
      <c r="CE410" t="s">
        <v>93</v>
      </c>
      <c r="CF410" s="3">
        <v>45995</v>
      </c>
      <c r="CI410">
        <v>1</v>
      </c>
      <c r="CJ410">
        <v>1</v>
      </c>
      <c r="CK410">
        <v>21</v>
      </c>
      <c r="CL410" t="s">
        <v>87</v>
      </c>
    </row>
    <row r="411" spans="1:90" x14ac:dyDescent="0.3">
      <c r="A411" t="s">
        <v>72</v>
      </c>
      <c r="B411" t="s">
        <v>73</v>
      </c>
      <c r="C411" t="s">
        <v>74</v>
      </c>
      <c r="E411" t="str">
        <f>"080069653364"</f>
        <v>080069653364</v>
      </c>
      <c r="F411" s="3">
        <v>45994</v>
      </c>
      <c r="G411">
        <v>202609</v>
      </c>
      <c r="H411" t="s">
        <v>75</v>
      </c>
      <c r="I411" t="s">
        <v>76</v>
      </c>
      <c r="J411" t="s">
        <v>77</v>
      </c>
      <c r="K411" t="s">
        <v>78</v>
      </c>
      <c r="L411" t="s">
        <v>482</v>
      </c>
      <c r="M411" t="s">
        <v>483</v>
      </c>
      <c r="N411" t="s">
        <v>1087</v>
      </c>
      <c r="O411" t="s">
        <v>89</v>
      </c>
      <c r="P411" t="str">
        <f>"4170071720                    "</f>
        <v xml:space="preserve">4170071720                    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0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49.45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0</v>
      </c>
      <c r="AX411">
        <v>0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1</v>
      </c>
      <c r="BI411">
        <v>2</v>
      </c>
      <c r="BJ411">
        <v>1.4</v>
      </c>
      <c r="BK411">
        <v>2</v>
      </c>
      <c r="BL411">
        <v>147.38</v>
      </c>
      <c r="BM411">
        <v>22.11</v>
      </c>
      <c r="BN411">
        <v>169.49</v>
      </c>
      <c r="BO411">
        <v>169.49</v>
      </c>
      <c r="BQ411" t="s">
        <v>1088</v>
      </c>
      <c r="BR411" t="s">
        <v>82</v>
      </c>
      <c r="BS411" s="3">
        <v>45999</v>
      </c>
      <c r="BT411" s="4">
        <v>0.4375</v>
      </c>
      <c r="BU411" t="s">
        <v>1089</v>
      </c>
      <c r="BV411" t="s">
        <v>87</v>
      </c>
      <c r="BW411" t="s">
        <v>186</v>
      </c>
      <c r="BX411" t="s">
        <v>288</v>
      </c>
      <c r="BY411">
        <v>7000</v>
      </c>
      <c r="CA411">
        <v>7711215278081</v>
      </c>
      <c r="CC411" t="s">
        <v>483</v>
      </c>
      <c r="CD411">
        <v>1871</v>
      </c>
      <c r="CE411" t="s">
        <v>86</v>
      </c>
      <c r="CF411" s="3">
        <v>46000</v>
      </c>
      <c r="CI411">
        <v>1</v>
      </c>
      <c r="CJ411">
        <v>3</v>
      </c>
      <c r="CK411">
        <v>23</v>
      </c>
      <c r="CL411" t="s">
        <v>87</v>
      </c>
    </row>
    <row r="412" spans="1:90" x14ac:dyDescent="0.3">
      <c r="A412" t="s">
        <v>72</v>
      </c>
      <c r="B412" t="s">
        <v>73</v>
      </c>
      <c r="C412" t="s">
        <v>74</v>
      </c>
      <c r="E412" t="str">
        <f>"080069653439"</f>
        <v>080069653439</v>
      </c>
      <c r="F412" s="3">
        <v>45994</v>
      </c>
      <c r="G412">
        <v>202609</v>
      </c>
      <c r="H412" t="s">
        <v>75</v>
      </c>
      <c r="I412" t="s">
        <v>76</v>
      </c>
      <c r="J412" t="s">
        <v>77</v>
      </c>
      <c r="K412" t="s">
        <v>78</v>
      </c>
      <c r="L412" t="s">
        <v>389</v>
      </c>
      <c r="M412" t="s">
        <v>390</v>
      </c>
      <c r="N412" t="s">
        <v>1090</v>
      </c>
      <c r="O412" t="s">
        <v>89</v>
      </c>
      <c r="P412" t="str">
        <f>"4170071699                    "</f>
        <v xml:space="preserve">4170071699                    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  <c r="AJ412">
        <v>0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49.45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0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1</v>
      </c>
      <c r="BI412">
        <v>1.1000000000000001</v>
      </c>
      <c r="BJ412">
        <v>1.7</v>
      </c>
      <c r="BK412">
        <v>2</v>
      </c>
      <c r="BL412">
        <v>147.38</v>
      </c>
      <c r="BM412">
        <v>22.11</v>
      </c>
      <c r="BN412">
        <v>169.49</v>
      </c>
      <c r="BO412">
        <v>169.49</v>
      </c>
      <c r="BQ412" t="s">
        <v>1091</v>
      </c>
      <c r="BR412" t="s">
        <v>82</v>
      </c>
      <c r="BS412" s="3">
        <v>45995</v>
      </c>
      <c r="BT412" s="4">
        <v>0.43402777777777779</v>
      </c>
      <c r="BU412" t="s">
        <v>1092</v>
      </c>
      <c r="BV412" t="s">
        <v>84</v>
      </c>
      <c r="BY412">
        <v>8352</v>
      </c>
      <c r="CA412">
        <v>7601035402088</v>
      </c>
      <c r="CC412" t="s">
        <v>390</v>
      </c>
      <c r="CD412" s="5" t="s">
        <v>395</v>
      </c>
      <c r="CE412" t="s">
        <v>86</v>
      </c>
      <c r="CF412" s="3">
        <v>45996</v>
      </c>
      <c r="CI412">
        <v>1</v>
      </c>
      <c r="CJ412">
        <v>1</v>
      </c>
      <c r="CK412">
        <v>23</v>
      </c>
      <c r="CL412" t="s">
        <v>87</v>
      </c>
    </row>
    <row r="413" spans="1:90" x14ac:dyDescent="0.3">
      <c r="A413" t="s">
        <v>72</v>
      </c>
      <c r="B413" t="s">
        <v>73</v>
      </c>
      <c r="C413" t="s">
        <v>74</v>
      </c>
      <c r="E413" t="str">
        <f>"080069653470"</f>
        <v>080069653470</v>
      </c>
      <c r="F413" s="3">
        <v>45994</v>
      </c>
      <c r="G413">
        <v>202609</v>
      </c>
      <c r="H413" t="s">
        <v>75</v>
      </c>
      <c r="I413" t="s">
        <v>76</v>
      </c>
      <c r="J413" t="s">
        <v>77</v>
      </c>
      <c r="K413" t="s">
        <v>78</v>
      </c>
      <c r="L413" t="s">
        <v>128</v>
      </c>
      <c r="M413" t="s">
        <v>129</v>
      </c>
      <c r="N413" t="s">
        <v>183</v>
      </c>
      <c r="O413" t="s">
        <v>89</v>
      </c>
      <c r="P413" t="str">
        <f>"4170071704                    "</f>
        <v xml:space="preserve">4170071704                    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0</v>
      </c>
      <c r="AJ413">
        <v>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25.52</v>
      </c>
      <c r="AR413">
        <v>0</v>
      </c>
      <c r="AS413">
        <v>0</v>
      </c>
      <c r="AT413">
        <v>0</v>
      </c>
      <c r="AU413">
        <v>0</v>
      </c>
      <c r="AV413">
        <v>0</v>
      </c>
      <c r="AW413">
        <v>0</v>
      </c>
      <c r="AX413">
        <v>0</v>
      </c>
      <c r="AY413">
        <v>0</v>
      </c>
      <c r="AZ413">
        <v>0</v>
      </c>
      <c r="BA413">
        <v>0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1</v>
      </c>
      <c r="BI413">
        <v>1</v>
      </c>
      <c r="BJ413">
        <v>0.2</v>
      </c>
      <c r="BK413">
        <v>1</v>
      </c>
      <c r="BL413">
        <v>76.06</v>
      </c>
      <c r="BM413">
        <v>11.41</v>
      </c>
      <c r="BN413">
        <v>87.47</v>
      </c>
      <c r="BO413">
        <v>87.47</v>
      </c>
      <c r="BQ413" t="s">
        <v>184</v>
      </c>
      <c r="BR413" t="s">
        <v>82</v>
      </c>
      <c r="BS413" s="3">
        <v>45995</v>
      </c>
      <c r="BT413" s="4">
        <v>0.56458333333333333</v>
      </c>
      <c r="BU413" t="s">
        <v>1093</v>
      </c>
      <c r="BV413" t="s">
        <v>87</v>
      </c>
      <c r="BW413" t="s">
        <v>186</v>
      </c>
      <c r="BX413" t="s">
        <v>187</v>
      </c>
      <c r="BY413">
        <v>1200</v>
      </c>
      <c r="CA413" t="s">
        <v>188</v>
      </c>
      <c r="CC413" t="s">
        <v>129</v>
      </c>
      <c r="CD413">
        <v>5201</v>
      </c>
      <c r="CE413" t="s">
        <v>134</v>
      </c>
      <c r="CF413" s="3">
        <v>45996</v>
      </c>
      <c r="CI413">
        <v>1</v>
      </c>
      <c r="CJ413">
        <v>1</v>
      </c>
      <c r="CK413">
        <v>21</v>
      </c>
      <c r="CL413" t="s">
        <v>87</v>
      </c>
    </row>
    <row r="414" spans="1:90" x14ac:dyDescent="0.3">
      <c r="A414" t="s">
        <v>72</v>
      </c>
      <c r="B414" t="s">
        <v>73</v>
      </c>
      <c r="C414" t="s">
        <v>74</v>
      </c>
      <c r="E414" t="str">
        <f>"080069654286"</f>
        <v>080069654286</v>
      </c>
      <c r="F414" s="3">
        <v>45994</v>
      </c>
      <c r="G414">
        <v>202609</v>
      </c>
      <c r="H414" t="s">
        <v>75</v>
      </c>
      <c r="I414" t="s">
        <v>76</v>
      </c>
      <c r="J414" t="s">
        <v>77</v>
      </c>
      <c r="K414" t="s">
        <v>78</v>
      </c>
      <c r="L414" t="s">
        <v>465</v>
      </c>
      <c r="M414" t="s">
        <v>466</v>
      </c>
      <c r="N414" t="s">
        <v>1094</v>
      </c>
      <c r="O414" t="s">
        <v>340</v>
      </c>
      <c r="P414" t="str">
        <f>"4170071669                    "</f>
        <v xml:space="preserve">4170071669                    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22.18</v>
      </c>
      <c r="AR414">
        <v>0</v>
      </c>
      <c r="AS414">
        <v>0</v>
      </c>
      <c r="AT414">
        <v>0</v>
      </c>
      <c r="AU414">
        <v>0</v>
      </c>
      <c r="AV414">
        <v>0</v>
      </c>
      <c r="AW414">
        <v>0</v>
      </c>
      <c r="AX414">
        <v>0</v>
      </c>
      <c r="AY414">
        <v>0</v>
      </c>
      <c r="AZ414">
        <v>0</v>
      </c>
      <c r="BA414">
        <v>0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1</v>
      </c>
      <c r="BI414">
        <v>9</v>
      </c>
      <c r="BJ414">
        <v>4.9000000000000004</v>
      </c>
      <c r="BK414">
        <v>9</v>
      </c>
      <c r="BL414">
        <v>66.099999999999994</v>
      </c>
      <c r="BM414">
        <v>9.92</v>
      </c>
      <c r="BN414">
        <v>76.02</v>
      </c>
      <c r="BO414">
        <v>76.02</v>
      </c>
      <c r="BQ414" t="s">
        <v>1095</v>
      </c>
      <c r="BR414" t="s">
        <v>82</v>
      </c>
      <c r="BS414" s="3">
        <v>45995</v>
      </c>
      <c r="BT414" s="4">
        <v>0.49305555555555558</v>
      </c>
      <c r="BU414" t="s">
        <v>1096</v>
      </c>
      <c r="BV414" t="s">
        <v>84</v>
      </c>
      <c r="BY414">
        <v>24500</v>
      </c>
      <c r="CA414" t="s">
        <v>1097</v>
      </c>
      <c r="CC414" t="s">
        <v>466</v>
      </c>
      <c r="CD414">
        <v>1401</v>
      </c>
      <c r="CE414" t="s">
        <v>86</v>
      </c>
      <c r="CF414" s="3">
        <v>45995</v>
      </c>
      <c r="CI414">
        <v>1</v>
      </c>
      <c r="CJ414">
        <v>1</v>
      </c>
      <c r="CK414">
        <v>32</v>
      </c>
      <c r="CL414" t="s">
        <v>87</v>
      </c>
    </row>
    <row r="415" spans="1:90" x14ac:dyDescent="0.3">
      <c r="A415" t="s">
        <v>72</v>
      </c>
      <c r="B415" t="s">
        <v>73</v>
      </c>
      <c r="C415" t="s">
        <v>74</v>
      </c>
      <c r="E415" t="str">
        <f>"080069654858"</f>
        <v>080069654858</v>
      </c>
      <c r="F415" s="3">
        <v>45994</v>
      </c>
      <c r="G415">
        <v>202609</v>
      </c>
      <c r="H415" t="s">
        <v>75</v>
      </c>
      <c r="I415" t="s">
        <v>76</v>
      </c>
      <c r="J415" t="s">
        <v>77</v>
      </c>
      <c r="K415" t="s">
        <v>78</v>
      </c>
      <c r="L415" t="s">
        <v>241</v>
      </c>
      <c r="M415" t="s">
        <v>242</v>
      </c>
      <c r="N415" t="s">
        <v>1098</v>
      </c>
      <c r="O415" t="s">
        <v>89</v>
      </c>
      <c r="P415" t="str">
        <f>"4170071694                    "</f>
        <v xml:space="preserve">4170071694                    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  <c r="AH415">
        <v>0</v>
      </c>
      <c r="AI415">
        <v>0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70.17</v>
      </c>
      <c r="AR415">
        <v>0</v>
      </c>
      <c r="AS415">
        <v>0</v>
      </c>
      <c r="AT415">
        <v>0</v>
      </c>
      <c r="AU415">
        <v>0</v>
      </c>
      <c r="AV415">
        <v>0</v>
      </c>
      <c r="AW415">
        <v>0</v>
      </c>
      <c r="AX415">
        <v>0</v>
      </c>
      <c r="AY415">
        <v>0</v>
      </c>
      <c r="AZ415">
        <v>0</v>
      </c>
      <c r="BA415">
        <v>0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1</v>
      </c>
      <c r="BI415">
        <v>5</v>
      </c>
      <c r="BJ415">
        <v>5.2</v>
      </c>
      <c r="BK415">
        <v>5.5</v>
      </c>
      <c r="BL415">
        <v>209.12</v>
      </c>
      <c r="BM415">
        <v>31.37</v>
      </c>
      <c r="BN415">
        <v>240.49</v>
      </c>
      <c r="BO415">
        <v>240.49</v>
      </c>
      <c r="BQ415" t="s">
        <v>1099</v>
      </c>
      <c r="BR415" t="s">
        <v>82</v>
      </c>
      <c r="BS415" s="3">
        <v>45995</v>
      </c>
      <c r="BT415" s="4">
        <v>0.3888888888888889</v>
      </c>
      <c r="BU415" t="s">
        <v>1100</v>
      </c>
      <c r="BV415" t="s">
        <v>84</v>
      </c>
      <c r="BY415">
        <v>25800</v>
      </c>
      <c r="CC415" t="s">
        <v>242</v>
      </c>
      <c r="CD415">
        <v>4302</v>
      </c>
      <c r="CE415" t="s">
        <v>93</v>
      </c>
      <c r="CF415" s="3">
        <v>45996</v>
      </c>
      <c r="CI415">
        <v>1</v>
      </c>
      <c r="CJ415">
        <v>1</v>
      </c>
      <c r="CK415">
        <v>21</v>
      </c>
      <c r="CL415" t="s">
        <v>87</v>
      </c>
    </row>
    <row r="416" spans="1:90" x14ac:dyDescent="0.3">
      <c r="A416" t="s">
        <v>72</v>
      </c>
      <c r="B416" t="s">
        <v>73</v>
      </c>
      <c r="C416" t="s">
        <v>74</v>
      </c>
      <c r="E416" t="str">
        <f>"080069654927"</f>
        <v>080069654927</v>
      </c>
      <c r="F416" s="3">
        <v>45994</v>
      </c>
      <c r="G416">
        <v>202609</v>
      </c>
      <c r="H416" t="s">
        <v>75</v>
      </c>
      <c r="I416" t="s">
        <v>76</v>
      </c>
      <c r="J416" t="s">
        <v>77</v>
      </c>
      <c r="K416" t="s">
        <v>78</v>
      </c>
      <c r="L416" t="s">
        <v>528</v>
      </c>
      <c r="M416" t="s">
        <v>529</v>
      </c>
      <c r="N416" t="s">
        <v>530</v>
      </c>
      <c r="O416" t="s">
        <v>80</v>
      </c>
      <c r="P416" t="str">
        <f>"4170071634                    "</f>
        <v xml:space="preserve">4170071634                    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0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69.61</v>
      </c>
      <c r="AR416">
        <v>0</v>
      </c>
      <c r="AS416">
        <v>0</v>
      </c>
      <c r="AT416">
        <v>0</v>
      </c>
      <c r="AU416">
        <v>0</v>
      </c>
      <c r="AV416">
        <v>0</v>
      </c>
      <c r="AW416">
        <v>17.41</v>
      </c>
      <c r="AX416">
        <v>0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1</v>
      </c>
      <c r="BI416">
        <v>13</v>
      </c>
      <c r="BJ416">
        <v>5</v>
      </c>
      <c r="BK416">
        <v>13</v>
      </c>
      <c r="BL416">
        <v>230.97</v>
      </c>
      <c r="BM416">
        <v>34.65</v>
      </c>
      <c r="BN416">
        <v>265.62</v>
      </c>
      <c r="BO416">
        <v>265.62</v>
      </c>
      <c r="BQ416" t="s">
        <v>531</v>
      </c>
      <c r="BR416" t="s">
        <v>82</v>
      </c>
      <c r="BS416" s="3">
        <v>45995</v>
      </c>
      <c r="BT416" s="4">
        <v>0.54166666666666663</v>
      </c>
      <c r="BU416" t="s">
        <v>994</v>
      </c>
      <c r="BV416" t="s">
        <v>84</v>
      </c>
      <c r="BY416">
        <v>24882</v>
      </c>
      <c r="BZ416" t="s">
        <v>30</v>
      </c>
      <c r="CC416" t="s">
        <v>529</v>
      </c>
      <c r="CD416" s="5" t="s">
        <v>534</v>
      </c>
      <c r="CE416" t="s">
        <v>86</v>
      </c>
      <c r="CF416" s="3">
        <v>45996</v>
      </c>
      <c r="CI416">
        <v>1</v>
      </c>
      <c r="CJ416">
        <v>1</v>
      </c>
      <c r="CK416">
        <v>43</v>
      </c>
      <c r="CL416" t="s">
        <v>87</v>
      </c>
    </row>
    <row r="417" spans="1:90" x14ac:dyDescent="0.3">
      <c r="A417" t="s">
        <v>72</v>
      </c>
      <c r="B417" t="s">
        <v>73</v>
      </c>
      <c r="C417" t="s">
        <v>74</v>
      </c>
      <c r="E417" t="str">
        <f>"080069654952"</f>
        <v>080069654952</v>
      </c>
      <c r="F417" s="3">
        <v>45994</v>
      </c>
      <c r="G417">
        <v>202609</v>
      </c>
      <c r="H417" t="s">
        <v>75</v>
      </c>
      <c r="I417" t="s">
        <v>76</v>
      </c>
      <c r="J417" t="s">
        <v>77</v>
      </c>
      <c r="K417" t="s">
        <v>78</v>
      </c>
      <c r="L417" t="s">
        <v>156</v>
      </c>
      <c r="M417" t="s">
        <v>157</v>
      </c>
      <c r="N417" t="s">
        <v>1101</v>
      </c>
      <c r="O417" t="s">
        <v>89</v>
      </c>
      <c r="P417" t="str">
        <f>"4170071654                    "</f>
        <v xml:space="preserve">4170071654                    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25.52</v>
      </c>
      <c r="AR417">
        <v>0</v>
      </c>
      <c r="AS417">
        <v>0</v>
      </c>
      <c r="AT417">
        <v>0</v>
      </c>
      <c r="AU417">
        <v>0</v>
      </c>
      <c r="AV417">
        <v>0</v>
      </c>
      <c r="AW417">
        <v>0</v>
      </c>
      <c r="AX417">
        <v>0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1</v>
      </c>
      <c r="BI417">
        <v>1</v>
      </c>
      <c r="BJ417">
        <v>0.2</v>
      </c>
      <c r="BK417">
        <v>1</v>
      </c>
      <c r="BL417">
        <v>76.06</v>
      </c>
      <c r="BM417">
        <v>11.41</v>
      </c>
      <c r="BN417">
        <v>87.47</v>
      </c>
      <c r="BO417">
        <v>87.47</v>
      </c>
      <c r="BQ417" t="s">
        <v>1102</v>
      </c>
      <c r="BR417" t="s">
        <v>82</v>
      </c>
      <c r="BS417" s="3">
        <v>45995</v>
      </c>
      <c r="BT417" s="4">
        <v>0.41666666666666669</v>
      </c>
      <c r="BU417" t="s">
        <v>1103</v>
      </c>
      <c r="BV417" t="s">
        <v>84</v>
      </c>
      <c r="BY417">
        <v>1200</v>
      </c>
      <c r="CA417" t="s">
        <v>1104</v>
      </c>
      <c r="CC417" t="s">
        <v>157</v>
      </c>
      <c r="CD417">
        <v>8000</v>
      </c>
      <c r="CE417" t="s">
        <v>134</v>
      </c>
      <c r="CF417" s="3">
        <v>45997</v>
      </c>
      <c r="CI417">
        <v>1</v>
      </c>
      <c r="CJ417">
        <v>1</v>
      </c>
      <c r="CK417">
        <v>21</v>
      </c>
      <c r="CL417" t="s">
        <v>87</v>
      </c>
    </row>
    <row r="418" spans="1:90" x14ac:dyDescent="0.3">
      <c r="A418" t="s">
        <v>72</v>
      </c>
      <c r="B418" t="s">
        <v>73</v>
      </c>
      <c r="C418" t="s">
        <v>74</v>
      </c>
      <c r="E418" t="str">
        <f>"080069655029"</f>
        <v>080069655029</v>
      </c>
      <c r="F418" s="3">
        <v>45994</v>
      </c>
      <c r="G418">
        <v>202609</v>
      </c>
      <c r="H418" t="s">
        <v>75</v>
      </c>
      <c r="I418" t="s">
        <v>76</v>
      </c>
      <c r="J418" t="s">
        <v>77</v>
      </c>
      <c r="K418" t="s">
        <v>78</v>
      </c>
      <c r="L418" t="s">
        <v>156</v>
      </c>
      <c r="M418" t="s">
        <v>157</v>
      </c>
      <c r="N418" t="s">
        <v>434</v>
      </c>
      <c r="O418" t="s">
        <v>89</v>
      </c>
      <c r="P418" t="str">
        <f>"4170071698                    "</f>
        <v xml:space="preserve">4170071698                    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0</v>
      </c>
      <c r="AJ418">
        <v>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25.52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1</v>
      </c>
      <c r="BI418">
        <v>2</v>
      </c>
      <c r="BJ418">
        <v>1.8</v>
      </c>
      <c r="BK418">
        <v>2</v>
      </c>
      <c r="BL418">
        <v>76.06</v>
      </c>
      <c r="BM418">
        <v>11.41</v>
      </c>
      <c r="BN418">
        <v>87.47</v>
      </c>
      <c r="BO418">
        <v>87.47</v>
      </c>
      <c r="BQ418" t="s">
        <v>435</v>
      </c>
      <c r="BR418" t="s">
        <v>82</v>
      </c>
      <c r="BS418" s="3">
        <v>45995</v>
      </c>
      <c r="BT418" s="4">
        <v>0.37916666666666665</v>
      </c>
      <c r="BU418" t="s">
        <v>999</v>
      </c>
      <c r="BV418" t="s">
        <v>84</v>
      </c>
      <c r="BY418">
        <v>8775</v>
      </c>
      <c r="BZ418" t="s">
        <v>271</v>
      </c>
      <c r="CA418" t="s">
        <v>264</v>
      </c>
      <c r="CC418" t="s">
        <v>157</v>
      </c>
      <c r="CD418">
        <v>7441</v>
      </c>
      <c r="CE418" t="s">
        <v>147</v>
      </c>
      <c r="CF418" s="3">
        <v>45996</v>
      </c>
      <c r="CI418">
        <v>1</v>
      </c>
      <c r="CJ418">
        <v>1</v>
      </c>
      <c r="CK418">
        <v>21</v>
      </c>
      <c r="CL418" t="s">
        <v>87</v>
      </c>
    </row>
    <row r="419" spans="1:90" x14ac:dyDescent="0.3">
      <c r="A419" t="s">
        <v>72</v>
      </c>
      <c r="B419" t="s">
        <v>73</v>
      </c>
      <c r="C419" t="s">
        <v>74</v>
      </c>
      <c r="E419" t="str">
        <f>"080069655091"</f>
        <v>080069655091</v>
      </c>
      <c r="F419" s="3">
        <v>45994</v>
      </c>
      <c r="G419">
        <v>202609</v>
      </c>
      <c r="H419" t="s">
        <v>75</v>
      </c>
      <c r="I419" t="s">
        <v>76</v>
      </c>
      <c r="J419" t="s">
        <v>77</v>
      </c>
      <c r="K419" t="s">
        <v>78</v>
      </c>
      <c r="L419" t="s">
        <v>1041</v>
      </c>
      <c r="M419" t="s">
        <v>1042</v>
      </c>
      <c r="N419" t="s">
        <v>1043</v>
      </c>
      <c r="O419" t="s">
        <v>89</v>
      </c>
      <c r="P419" t="str">
        <f>"4170071701                    "</f>
        <v xml:space="preserve">4170071701                    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0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49.45</v>
      </c>
      <c r="AR419">
        <v>0</v>
      </c>
      <c r="AS419">
        <v>0</v>
      </c>
      <c r="AT419">
        <v>0</v>
      </c>
      <c r="AU419">
        <v>0</v>
      </c>
      <c r="AV419">
        <v>0</v>
      </c>
      <c r="AW419">
        <v>0</v>
      </c>
      <c r="AX419">
        <v>0</v>
      </c>
      <c r="AY419">
        <v>0</v>
      </c>
      <c r="AZ419">
        <v>0</v>
      </c>
      <c r="BA419">
        <v>0</v>
      </c>
      <c r="BB419">
        <v>0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1</v>
      </c>
      <c r="BI419">
        <v>1</v>
      </c>
      <c r="BJ419">
        <v>0.2</v>
      </c>
      <c r="BK419">
        <v>1</v>
      </c>
      <c r="BL419">
        <v>147.38</v>
      </c>
      <c r="BM419">
        <v>22.11</v>
      </c>
      <c r="BN419">
        <v>169.49</v>
      </c>
      <c r="BO419">
        <v>169.49</v>
      </c>
      <c r="BQ419" t="s">
        <v>1044</v>
      </c>
      <c r="BR419" t="s">
        <v>82</v>
      </c>
      <c r="BS419" s="3">
        <v>45995</v>
      </c>
      <c r="BT419" s="4">
        <v>0.48680555555555555</v>
      </c>
      <c r="BU419" t="s">
        <v>1045</v>
      </c>
      <c r="BV419" t="s">
        <v>84</v>
      </c>
      <c r="BY419">
        <v>1200</v>
      </c>
      <c r="CA419" t="s">
        <v>1046</v>
      </c>
      <c r="CC419" t="s">
        <v>1042</v>
      </c>
      <c r="CD419">
        <v>5257</v>
      </c>
      <c r="CE419" t="s">
        <v>134</v>
      </c>
      <c r="CF419" s="3">
        <v>45996</v>
      </c>
      <c r="CI419">
        <v>1</v>
      </c>
      <c r="CJ419">
        <v>1</v>
      </c>
      <c r="CK419">
        <v>23</v>
      </c>
      <c r="CL419" t="s">
        <v>87</v>
      </c>
    </row>
    <row r="420" spans="1:90" x14ac:dyDescent="0.3">
      <c r="A420" t="s">
        <v>72</v>
      </c>
      <c r="B420" t="s">
        <v>73</v>
      </c>
      <c r="C420" t="s">
        <v>74</v>
      </c>
      <c r="E420" t="str">
        <f>"080069655134"</f>
        <v>080069655134</v>
      </c>
      <c r="F420" s="3">
        <v>45994</v>
      </c>
      <c r="G420">
        <v>202609</v>
      </c>
      <c r="H420" t="s">
        <v>75</v>
      </c>
      <c r="I420" t="s">
        <v>76</v>
      </c>
      <c r="J420" t="s">
        <v>77</v>
      </c>
      <c r="K420" t="s">
        <v>78</v>
      </c>
      <c r="L420" t="s">
        <v>109</v>
      </c>
      <c r="M420" t="s">
        <v>110</v>
      </c>
      <c r="N420" t="s">
        <v>1105</v>
      </c>
      <c r="O420" t="s">
        <v>89</v>
      </c>
      <c r="P420" t="str">
        <f>"4170071691                    "</f>
        <v xml:space="preserve">4170071691                    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35.9</v>
      </c>
      <c r="AR420">
        <v>0</v>
      </c>
      <c r="AS420">
        <v>0</v>
      </c>
      <c r="AT420">
        <v>0</v>
      </c>
      <c r="AU420">
        <v>0</v>
      </c>
      <c r="AV420">
        <v>0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1</v>
      </c>
      <c r="BI420">
        <v>1</v>
      </c>
      <c r="BJ420">
        <v>0.2</v>
      </c>
      <c r="BK420">
        <v>1</v>
      </c>
      <c r="BL420">
        <v>106.98</v>
      </c>
      <c r="BM420">
        <v>16.05</v>
      </c>
      <c r="BN420">
        <v>123.03</v>
      </c>
      <c r="BO420">
        <v>123.03</v>
      </c>
      <c r="BQ420" t="s">
        <v>1106</v>
      </c>
      <c r="BR420" t="s">
        <v>82</v>
      </c>
      <c r="BS420" s="3">
        <v>46002</v>
      </c>
      <c r="BT420" s="4">
        <v>0.46666666666666667</v>
      </c>
      <c r="BU420" t="s">
        <v>1107</v>
      </c>
      <c r="BV420" t="s">
        <v>87</v>
      </c>
      <c r="BY420">
        <v>1200</v>
      </c>
      <c r="CA420" t="s">
        <v>1108</v>
      </c>
      <c r="CC420" t="s">
        <v>110</v>
      </c>
      <c r="CD420">
        <v>1739</v>
      </c>
      <c r="CE420" t="s">
        <v>134</v>
      </c>
      <c r="CI420">
        <v>1</v>
      </c>
      <c r="CJ420">
        <v>6</v>
      </c>
      <c r="CK420">
        <v>24</v>
      </c>
      <c r="CL420" t="s">
        <v>87</v>
      </c>
    </row>
    <row r="421" spans="1:90" x14ac:dyDescent="0.3">
      <c r="A421" t="s">
        <v>72</v>
      </c>
      <c r="B421" t="s">
        <v>73</v>
      </c>
      <c r="C421" t="s">
        <v>74</v>
      </c>
      <c r="E421" t="str">
        <f>"080069655217"</f>
        <v>080069655217</v>
      </c>
      <c r="F421" s="3">
        <v>45994</v>
      </c>
      <c r="G421">
        <v>202609</v>
      </c>
      <c r="H421" t="s">
        <v>75</v>
      </c>
      <c r="I421" t="s">
        <v>76</v>
      </c>
      <c r="J421" t="s">
        <v>77</v>
      </c>
      <c r="K421" t="s">
        <v>78</v>
      </c>
      <c r="L421" t="s">
        <v>502</v>
      </c>
      <c r="M421" t="s">
        <v>503</v>
      </c>
      <c r="N421" t="s">
        <v>1109</v>
      </c>
      <c r="O421" t="s">
        <v>89</v>
      </c>
      <c r="P421" t="str">
        <f>"4170071733                    "</f>
        <v xml:space="preserve">4170071733                    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I421">
        <v>0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19.940000000000001</v>
      </c>
      <c r="AR421">
        <v>0</v>
      </c>
      <c r="AS421">
        <v>0</v>
      </c>
      <c r="AT421">
        <v>0</v>
      </c>
      <c r="AU421">
        <v>0</v>
      </c>
      <c r="AV421">
        <v>0</v>
      </c>
      <c r="AW421">
        <v>0</v>
      </c>
      <c r="AX421">
        <v>0</v>
      </c>
      <c r="AY421">
        <v>0</v>
      </c>
      <c r="AZ421">
        <v>0</v>
      </c>
      <c r="BA421">
        <v>0</v>
      </c>
      <c r="BB421">
        <v>0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1</v>
      </c>
      <c r="BI421">
        <v>1</v>
      </c>
      <c r="BJ421">
        <v>0.2</v>
      </c>
      <c r="BK421">
        <v>1</v>
      </c>
      <c r="BL421">
        <v>59.42</v>
      </c>
      <c r="BM421">
        <v>8.91</v>
      </c>
      <c r="BN421">
        <v>68.33</v>
      </c>
      <c r="BO421">
        <v>68.33</v>
      </c>
      <c r="BQ421" t="s">
        <v>1110</v>
      </c>
      <c r="BR421" t="s">
        <v>82</v>
      </c>
      <c r="BS421" s="3">
        <v>45995</v>
      </c>
      <c r="BT421" s="4">
        <v>0.35625000000000001</v>
      </c>
      <c r="BU421" t="s">
        <v>1111</v>
      </c>
      <c r="BV421" t="s">
        <v>84</v>
      </c>
      <c r="BY421">
        <v>1200</v>
      </c>
      <c r="BZ421" t="s">
        <v>271</v>
      </c>
      <c r="CA421" t="s">
        <v>507</v>
      </c>
      <c r="CC421" t="s">
        <v>503</v>
      </c>
      <c r="CD421">
        <v>1559</v>
      </c>
      <c r="CE421" t="s">
        <v>127</v>
      </c>
      <c r="CF421" s="3">
        <v>45995</v>
      </c>
      <c r="CI421">
        <v>1</v>
      </c>
      <c r="CJ421">
        <v>1</v>
      </c>
      <c r="CK421">
        <v>22</v>
      </c>
      <c r="CL421" t="s">
        <v>87</v>
      </c>
    </row>
    <row r="422" spans="1:90" x14ac:dyDescent="0.3">
      <c r="A422" t="s">
        <v>72</v>
      </c>
      <c r="B422" t="s">
        <v>73</v>
      </c>
      <c r="C422" t="s">
        <v>74</v>
      </c>
      <c r="E422" t="str">
        <f>"080069655251"</f>
        <v>080069655251</v>
      </c>
      <c r="F422" s="3">
        <v>45994</v>
      </c>
      <c r="G422">
        <v>202609</v>
      </c>
      <c r="H422" t="s">
        <v>75</v>
      </c>
      <c r="I422" t="s">
        <v>76</v>
      </c>
      <c r="J422" t="s">
        <v>77</v>
      </c>
      <c r="K422" t="s">
        <v>78</v>
      </c>
      <c r="L422" t="s">
        <v>141</v>
      </c>
      <c r="M422" t="s">
        <v>142</v>
      </c>
      <c r="N422" t="s">
        <v>486</v>
      </c>
      <c r="O422" t="s">
        <v>89</v>
      </c>
      <c r="P422" t="str">
        <f>"4170071681                    "</f>
        <v xml:space="preserve">4170071681                    </v>
      </c>
      <c r="Q422">
        <v>0</v>
      </c>
      <c r="R422">
        <v>0</v>
      </c>
      <c r="S422">
        <v>0</v>
      </c>
      <c r="T422">
        <v>0</v>
      </c>
      <c r="U422">
        <v>0</v>
      </c>
      <c r="V422">
        <v>0</v>
      </c>
      <c r="W422">
        <v>0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0</v>
      </c>
      <c r="AJ422"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25.52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0</v>
      </c>
      <c r="AX422">
        <v>0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1</v>
      </c>
      <c r="BI422">
        <v>1</v>
      </c>
      <c r="BJ422">
        <v>0.2</v>
      </c>
      <c r="BK422">
        <v>1</v>
      </c>
      <c r="BL422">
        <v>76.06</v>
      </c>
      <c r="BM422">
        <v>11.41</v>
      </c>
      <c r="BN422">
        <v>87.47</v>
      </c>
      <c r="BO422">
        <v>87.47</v>
      </c>
      <c r="BQ422" t="s">
        <v>487</v>
      </c>
      <c r="BR422" t="s">
        <v>82</v>
      </c>
      <c r="BS422" s="3">
        <v>45995</v>
      </c>
      <c r="BT422" s="4">
        <v>0.41111111111111109</v>
      </c>
      <c r="BU422" t="s">
        <v>1000</v>
      </c>
      <c r="BV422" t="s">
        <v>84</v>
      </c>
      <c r="BY422">
        <v>1200</v>
      </c>
      <c r="BZ422" t="s">
        <v>271</v>
      </c>
      <c r="CA422" t="s">
        <v>489</v>
      </c>
      <c r="CC422" t="s">
        <v>142</v>
      </c>
      <c r="CD422">
        <v>6012</v>
      </c>
      <c r="CE422" t="s">
        <v>127</v>
      </c>
      <c r="CF422" s="3">
        <v>45995</v>
      </c>
      <c r="CI422">
        <v>1</v>
      </c>
      <c r="CJ422">
        <v>1</v>
      </c>
      <c r="CK422">
        <v>21</v>
      </c>
      <c r="CL422" t="s">
        <v>87</v>
      </c>
    </row>
    <row r="423" spans="1:90" x14ac:dyDescent="0.3">
      <c r="A423" t="s">
        <v>72</v>
      </c>
      <c r="B423" t="s">
        <v>73</v>
      </c>
      <c r="C423" t="s">
        <v>74</v>
      </c>
      <c r="E423" t="str">
        <f>"080069655356"</f>
        <v>080069655356</v>
      </c>
      <c r="F423" s="3">
        <v>45994</v>
      </c>
      <c r="G423">
        <v>202609</v>
      </c>
      <c r="H423" t="s">
        <v>75</v>
      </c>
      <c r="I423" t="s">
        <v>76</v>
      </c>
      <c r="J423" t="s">
        <v>77</v>
      </c>
      <c r="K423" t="s">
        <v>78</v>
      </c>
      <c r="L423" t="s">
        <v>535</v>
      </c>
      <c r="M423" t="s">
        <v>535</v>
      </c>
      <c r="N423" t="s">
        <v>1112</v>
      </c>
      <c r="O423" t="s">
        <v>89</v>
      </c>
      <c r="P423" t="str">
        <f>"4170071707                    "</f>
        <v xml:space="preserve">4170071707                    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0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49.45</v>
      </c>
      <c r="AR423">
        <v>0</v>
      </c>
      <c r="AS423">
        <v>0</v>
      </c>
      <c r="AT423">
        <v>0</v>
      </c>
      <c r="AU423">
        <v>0</v>
      </c>
      <c r="AV423">
        <v>0</v>
      </c>
      <c r="AW423">
        <v>0</v>
      </c>
      <c r="AX423">
        <v>0</v>
      </c>
      <c r="AY423">
        <v>0</v>
      </c>
      <c r="AZ423">
        <v>0</v>
      </c>
      <c r="BA423">
        <v>0</v>
      </c>
      <c r="BB423">
        <v>0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1</v>
      </c>
      <c r="BI423">
        <v>1</v>
      </c>
      <c r="BJ423">
        <v>0.2</v>
      </c>
      <c r="BK423">
        <v>1</v>
      </c>
      <c r="BL423">
        <v>147.38</v>
      </c>
      <c r="BM423">
        <v>22.11</v>
      </c>
      <c r="BN423">
        <v>169.49</v>
      </c>
      <c r="BO423">
        <v>169.49</v>
      </c>
      <c r="BQ423" t="s">
        <v>1113</v>
      </c>
      <c r="BR423" t="s">
        <v>82</v>
      </c>
      <c r="BS423" s="3">
        <v>45995</v>
      </c>
      <c r="BT423" s="4">
        <v>0.79722222222222228</v>
      </c>
      <c r="BU423" t="s">
        <v>984</v>
      </c>
      <c r="BV423" t="s">
        <v>87</v>
      </c>
      <c r="BY423">
        <v>1200</v>
      </c>
      <c r="CA423" t="s">
        <v>539</v>
      </c>
      <c r="CC423" t="s">
        <v>535</v>
      </c>
      <c r="CD423">
        <v>7646</v>
      </c>
      <c r="CE423" t="s">
        <v>134</v>
      </c>
      <c r="CF423" s="3">
        <v>45996</v>
      </c>
      <c r="CI423">
        <v>1</v>
      </c>
      <c r="CJ423">
        <v>1</v>
      </c>
      <c r="CK423">
        <v>23</v>
      </c>
      <c r="CL423" t="s">
        <v>87</v>
      </c>
    </row>
    <row r="424" spans="1:90" x14ac:dyDescent="0.3">
      <c r="A424" t="s">
        <v>72</v>
      </c>
      <c r="B424" t="s">
        <v>73</v>
      </c>
      <c r="C424" t="s">
        <v>74</v>
      </c>
      <c r="E424" t="str">
        <f>"080069655359"</f>
        <v>080069655359</v>
      </c>
      <c r="F424" s="3">
        <v>45994</v>
      </c>
      <c r="G424">
        <v>202609</v>
      </c>
      <c r="H424" t="s">
        <v>75</v>
      </c>
      <c r="I424" t="s">
        <v>76</v>
      </c>
      <c r="J424" t="s">
        <v>77</v>
      </c>
      <c r="K424" t="s">
        <v>78</v>
      </c>
      <c r="L424" t="s">
        <v>176</v>
      </c>
      <c r="M424" t="s">
        <v>177</v>
      </c>
      <c r="N424" t="s">
        <v>877</v>
      </c>
      <c r="O424" t="s">
        <v>340</v>
      </c>
      <c r="P424" t="str">
        <f>"4170071772                    "</f>
        <v xml:space="preserve">4170071772                    </v>
      </c>
      <c r="Q424">
        <v>0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0</v>
      </c>
      <c r="AJ424">
        <v>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26.65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0</v>
      </c>
      <c r="AX424">
        <v>0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1</v>
      </c>
      <c r="BI424">
        <v>6</v>
      </c>
      <c r="BJ424">
        <v>10.4</v>
      </c>
      <c r="BK424">
        <v>11</v>
      </c>
      <c r="BL424">
        <v>79.430000000000007</v>
      </c>
      <c r="BM424">
        <v>11.91</v>
      </c>
      <c r="BN424">
        <v>91.34</v>
      </c>
      <c r="BO424">
        <v>91.34</v>
      </c>
      <c r="BQ424" t="s">
        <v>878</v>
      </c>
      <c r="BR424" t="s">
        <v>82</v>
      </c>
      <c r="BS424" s="3">
        <v>45995</v>
      </c>
      <c r="BT424" s="4">
        <v>0.30555555555555558</v>
      </c>
      <c r="BU424" t="s">
        <v>1114</v>
      </c>
      <c r="BV424" t="s">
        <v>84</v>
      </c>
      <c r="BY424">
        <v>51984</v>
      </c>
      <c r="CA424" t="s">
        <v>409</v>
      </c>
      <c r="CC424" t="s">
        <v>177</v>
      </c>
      <c r="CD424">
        <v>2013</v>
      </c>
      <c r="CE424" t="s">
        <v>93</v>
      </c>
      <c r="CF424" s="3">
        <v>45996</v>
      </c>
      <c r="CI424">
        <v>1</v>
      </c>
      <c r="CJ424">
        <v>1</v>
      </c>
      <c r="CK424">
        <v>32</v>
      </c>
      <c r="CL424" t="s">
        <v>87</v>
      </c>
    </row>
    <row r="425" spans="1:90" x14ac:dyDescent="0.3">
      <c r="A425" t="s">
        <v>72</v>
      </c>
      <c r="B425" t="s">
        <v>73</v>
      </c>
      <c r="C425" t="s">
        <v>74</v>
      </c>
      <c r="E425" t="str">
        <f>"080069655371"</f>
        <v>080069655371</v>
      </c>
      <c r="F425" s="3">
        <v>45994</v>
      </c>
      <c r="G425">
        <v>202609</v>
      </c>
      <c r="H425" t="s">
        <v>75</v>
      </c>
      <c r="I425" t="s">
        <v>76</v>
      </c>
      <c r="J425" t="s">
        <v>77</v>
      </c>
      <c r="K425" t="s">
        <v>78</v>
      </c>
      <c r="L425" t="s">
        <v>141</v>
      </c>
      <c r="M425" t="s">
        <v>142</v>
      </c>
      <c r="N425" t="s">
        <v>738</v>
      </c>
      <c r="O425" t="s">
        <v>89</v>
      </c>
      <c r="P425" t="str">
        <f>"4170071651                    "</f>
        <v xml:space="preserve">4170071651                    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0</v>
      </c>
      <c r="AJ425">
        <v>0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25.52</v>
      </c>
      <c r="AR425">
        <v>0</v>
      </c>
      <c r="AS425">
        <v>0</v>
      </c>
      <c r="AT425">
        <v>0</v>
      </c>
      <c r="AU425">
        <v>0</v>
      </c>
      <c r="AV425">
        <v>0</v>
      </c>
      <c r="AW425">
        <v>0</v>
      </c>
      <c r="AX425">
        <v>0</v>
      </c>
      <c r="AY425">
        <v>0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1</v>
      </c>
      <c r="BI425">
        <v>1</v>
      </c>
      <c r="BJ425">
        <v>0.2</v>
      </c>
      <c r="BK425">
        <v>1</v>
      </c>
      <c r="BL425">
        <v>76.06</v>
      </c>
      <c r="BM425">
        <v>11.41</v>
      </c>
      <c r="BN425">
        <v>87.47</v>
      </c>
      <c r="BO425">
        <v>87.47</v>
      </c>
      <c r="BQ425" t="s">
        <v>739</v>
      </c>
      <c r="BR425" t="s">
        <v>82</v>
      </c>
      <c r="BS425" s="3">
        <v>45995</v>
      </c>
      <c r="BT425" s="4">
        <v>0.40763888888888888</v>
      </c>
      <c r="BU425" t="s">
        <v>968</v>
      </c>
      <c r="BV425" t="s">
        <v>84</v>
      </c>
      <c r="BY425">
        <v>1200</v>
      </c>
      <c r="CA425" t="s">
        <v>277</v>
      </c>
      <c r="CC425" t="s">
        <v>142</v>
      </c>
      <c r="CD425">
        <v>6001</v>
      </c>
      <c r="CE425" t="s">
        <v>134</v>
      </c>
      <c r="CF425" s="3">
        <v>45995</v>
      </c>
      <c r="CI425">
        <v>1</v>
      </c>
      <c r="CJ425">
        <v>1</v>
      </c>
      <c r="CK425">
        <v>21</v>
      </c>
      <c r="CL425" t="s">
        <v>87</v>
      </c>
    </row>
    <row r="426" spans="1:90" x14ac:dyDescent="0.3">
      <c r="A426" t="s">
        <v>72</v>
      </c>
      <c r="B426" t="s">
        <v>73</v>
      </c>
      <c r="C426" t="s">
        <v>74</v>
      </c>
      <c r="E426" t="str">
        <f>"080069655391"</f>
        <v>080069655391</v>
      </c>
      <c r="F426" s="3">
        <v>45994</v>
      </c>
      <c r="G426">
        <v>202609</v>
      </c>
      <c r="H426" t="s">
        <v>75</v>
      </c>
      <c r="I426" t="s">
        <v>76</v>
      </c>
      <c r="J426" t="s">
        <v>77</v>
      </c>
      <c r="K426" t="s">
        <v>78</v>
      </c>
      <c r="L426" t="s">
        <v>218</v>
      </c>
      <c r="M426" t="s">
        <v>219</v>
      </c>
      <c r="N426" t="s">
        <v>220</v>
      </c>
      <c r="O426" t="s">
        <v>89</v>
      </c>
      <c r="P426" t="str">
        <f>"4170071653                    "</f>
        <v xml:space="preserve">4170071653                    </v>
      </c>
      <c r="Q426">
        <v>0</v>
      </c>
      <c r="R426">
        <v>0</v>
      </c>
      <c r="S426">
        <v>0</v>
      </c>
      <c r="T426">
        <v>0</v>
      </c>
      <c r="U426">
        <v>0</v>
      </c>
      <c r="V426">
        <v>0</v>
      </c>
      <c r="W426">
        <v>0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0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49.45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0</v>
      </c>
      <c r="AX426">
        <v>0</v>
      </c>
      <c r="AY426">
        <v>0</v>
      </c>
      <c r="AZ426">
        <v>0</v>
      </c>
      <c r="BA426">
        <v>0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1</v>
      </c>
      <c r="BI426">
        <v>1</v>
      </c>
      <c r="BJ426">
        <v>0.2</v>
      </c>
      <c r="BK426">
        <v>1</v>
      </c>
      <c r="BL426">
        <v>147.38</v>
      </c>
      <c r="BM426">
        <v>22.11</v>
      </c>
      <c r="BN426">
        <v>169.49</v>
      </c>
      <c r="BO426">
        <v>169.49</v>
      </c>
      <c r="BQ426" t="s">
        <v>221</v>
      </c>
      <c r="BR426" t="s">
        <v>82</v>
      </c>
      <c r="BS426" s="3">
        <v>45996</v>
      </c>
      <c r="BT426" s="4">
        <v>0.31597222222222221</v>
      </c>
      <c r="BU426" t="s">
        <v>222</v>
      </c>
      <c r="BV426" t="s">
        <v>87</v>
      </c>
      <c r="BW426" t="s">
        <v>174</v>
      </c>
      <c r="BX426" t="s">
        <v>1115</v>
      </c>
      <c r="BY426">
        <v>1200</v>
      </c>
      <c r="CC426" t="s">
        <v>219</v>
      </c>
      <c r="CD426">
        <v>2740</v>
      </c>
      <c r="CE426" t="s">
        <v>134</v>
      </c>
      <c r="CF426" s="3">
        <v>45999</v>
      </c>
      <c r="CI426">
        <v>1</v>
      </c>
      <c r="CJ426">
        <v>2</v>
      </c>
      <c r="CK426">
        <v>23</v>
      </c>
      <c r="CL426" t="s">
        <v>87</v>
      </c>
    </row>
    <row r="427" spans="1:90" x14ac:dyDescent="0.3">
      <c r="A427" t="s">
        <v>72</v>
      </c>
      <c r="B427" t="s">
        <v>73</v>
      </c>
      <c r="C427" t="s">
        <v>74</v>
      </c>
      <c r="E427" t="str">
        <f>"080069655453"</f>
        <v>080069655453</v>
      </c>
      <c r="F427" s="3">
        <v>45994</v>
      </c>
      <c r="G427">
        <v>202609</v>
      </c>
      <c r="H427" t="s">
        <v>75</v>
      </c>
      <c r="I427" t="s">
        <v>76</v>
      </c>
      <c r="J427" t="s">
        <v>77</v>
      </c>
      <c r="K427" t="s">
        <v>78</v>
      </c>
      <c r="L427" t="s">
        <v>176</v>
      </c>
      <c r="M427" t="s">
        <v>177</v>
      </c>
      <c r="N427" t="s">
        <v>178</v>
      </c>
      <c r="O427" t="s">
        <v>89</v>
      </c>
      <c r="P427" t="str">
        <f>"4170071647                    "</f>
        <v xml:space="preserve">4170071647                    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19.940000000000001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0</v>
      </c>
      <c r="AX427">
        <v>0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1</v>
      </c>
      <c r="BI427">
        <v>1</v>
      </c>
      <c r="BJ427">
        <v>0.2</v>
      </c>
      <c r="BK427">
        <v>1</v>
      </c>
      <c r="BL427">
        <v>59.42</v>
      </c>
      <c r="BM427">
        <v>8.91</v>
      </c>
      <c r="BN427">
        <v>68.33</v>
      </c>
      <c r="BO427">
        <v>68.33</v>
      </c>
      <c r="BQ427" t="s">
        <v>179</v>
      </c>
      <c r="BR427" t="s">
        <v>82</v>
      </c>
      <c r="BS427" s="3">
        <v>45995</v>
      </c>
      <c r="BT427" s="4">
        <v>0.31388888888888888</v>
      </c>
      <c r="BU427" t="s">
        <v>1116</v>
      </c>
      <c r="BV427" t="s">
        <v>84</v>
      </c>
      <c r="BY427">
        <v>1200</v>
      </c>
      <c r="CA427" t="s">
        <v>182</v>
      </c>
      <c r="CC427" t="s">
        <v>177</v>
      </c>
      <c r="CD427">
        <v>2094</v>
      </c>
      <c r="CE427" t="s">
        <v>134</v>
      </c>
      <c r="CF427" s="3">
        <v>45995</v>
      </c>
      <c r="CI427">
        <v>1</v>
      </c>
      <c r="CJ427">
        <v>1</v>
      </c>
      <c r="CK427">
        <v>22</v>
      </c>
      <c r="CL427" t="s">
        <v>87</v>
      </c>
    </row>
    <row r="428" spans="1:90" x14ac:dyDescent="0.3">
      <c r="A428" t="s">
        <v>72</v>
      </c>
      <c r="B428" t="s">
        <v>73</v>
      </c>
      <c r="C428" t="s">
        <v>74</v>
      </c>
      <c r="E428" t="str">
        <f>"080069655466"</f>
        <v>080069655466</v>
      </c>
      <c r="F428" s="3">
        <v>45994</v>
      </c>
      <c r="G428">
        <v>202609</v>
      </c>
      <c r="H428" t="s">
        <v>75</v>
      </c>
      <c r="I428" t="s">
        <v>76</v>
      </c>
      <c r="J428" t="s">
        <v>77</v>
      </c>
      <c r="K428" t="s">
        <v>78</v>
      </c>
      <c r="L428" t="s">
        <v>156</v>
      </c>
      <c r="M428" t="s">
        <v>157</v>
      </c>
      <c r="N428" t="s">
        <v>1117</v>
      </c>
      <c r="O428" t="s">
        <v>89</v>
      </c>
      <c r="P428" t="str">
        <f>"4170071649                    "</f>
        <v xml:space="preserve">4170071649                    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25.52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0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1</v>
      </c>
      <c r="BI428">
        <v>1</v>
      </c>
      <c r="BJ428">
        <v>0.2</v>
      </c>
      <c r="BK428">
        <v>1</v>
      </c>
      <c r="BL428">
        <v>76.06</v>
      </c>
      <c r="BM428">
        <v>11.41</v>
      </c>
      <c r="BN428">
        <v>87.47</v>
      </c>
      <c r="BO428">
        <v>87.47</v>
      </c>
      <c r="BQ428" t="s">
        <v>1118</v>
      </c>
      <c r="BR428" t="s">
        <v>82</v>
      </c>
      <c r="BS428" s="3">
        <v>45995</v>
      </c>
      <c r="BT428" s="4">
        <v>0.41666666666666669</v>
      </c>
      <c r="BU428" t="s">
        <v>1119</v>
      </c>
      <c r="BV428" t="s">
        <v>84</v>
      </c>
      <c r="BY428">
        <v>1200</v>
      </c>
      <c r="CC428" t="s">
        <v>157</v>
      </c>
      <c r="CD428">
        <v>7441</v>
      </c>
      <c r="CE428" t="s">
        <v>134</v>
      </c>
      <c r="CF428" s="3">
        <v>45996</v>
      </c>
      <c r="CI428">
        <v>1</v>
      </c>
      <c r="CJ428">
        <v>1</v>
      </c>
      <c r="CK428">
        <v>21</v>
      </c>
      <c r="CL428" t="s">
        <v>87</v>
      </c>
    </row>
    <row r="429" spans="1:90" x14ac:dyDescent="0.3">
      <c r="A429" t="s">
        <v>72</v>
      </c>
      <c r="B429" t="s">
        <v>73</v>
      </c>
      <c r="C429" t="s">
        <v>74</v>
      </c>
      <c r="E429" t="str">
        <f>"080069655471"</f>
        <v>080069655471</v>
      </c>
      <c r="F429" s="3">
        <v>45994</v>
      </c>
      <c r="G429">
        <v>202609</v>
      </c>
      <c r="H429" t="s">
        <v>75</v>
      </c>
      <c r="I429" t="s">
        <v>76</v>
      </c>
      <c r="J429" t="s">
        <v>77</v>
      </c>
      <c r="K429" t="s">
        <v>78</v>
      </c>
      <c r="L429" t="s">
        <v>1120</v>
      </c>
      <c r="M429" t="s">
        <v>1121</v>
      </c>
      <c r="N429" t="s">
        <v>1122</v>
      </c>
      <c r="O429" t="s">
        <v>80</v>
      </c>
      <c r="P429" t="str">
        <f>"4170071644                    "</f>
        <v xml:space="preserve">4170071644                    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162.05000000000001</v>
      </c>
      <c r="AR429">
        <v>0</v>
      </c>
      <c r="AS429">
        <v>0</v>
      </c>
      <c r="AT429">
        <v>0</v>
      </c>
      <c r="AU429">
        <v>0</v>
      </c>
      <c r="AV429">
        <v>0</v>
      </c>
      <c r="AW429">
        <v>0</v>
      </c>
      <c r="AX429">
        <v>0</v>
      </c>
      <c r="AY429">
        <v>0</v>
      </c>
      <c r="AZ429">
        <v>0</v>
      </c>
      <c r="BA429">
        <v>0</v>
      </c>
      <c r="BB429">
        <v>0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2</v>
      </c>
      <c r="BI429">
        <v>19</v>
      </c>
      <c r="BJ429">
        <v>40.700000000000003</v>
      </c>
      <c r="BK429">
        <v>41</v>
      </c>
      <c r="BL429">
        <v>489.04</v>
      </c>
      <c r="BM429">
        <v>73.36</v>
      </c>
      <c r="BN429">
        <v>562.4</v>
      </c>
      <c r="BO429">
        <v>562.4</v>
      </c>
      <c r="BQ429" t="s">
        <v>1123</v>
      </c>
      <c r="BR429" t="s">
        <v>82</v>
      </c>
      <c r="BS429" s="3">
        <v>45995</v>
      </c>
      <c r="BT429" s="4">
        <v>0.39583333333333331</v>
      </c>
      <c r="BU429" t="s">
        <v>1124</v>
      </c>
      <c r="BV429" t="s">
        <v>84</v>
      </c>
      <c r="BY429">
        <v>203568</v>
      </c>
      <c r="CC429" t="s">
        <v>1121</v>
      </c>
      <c r="CD429" s="5" t="s">
        <v>1125</v>
      </c>
      <c r="CE429" t="s">
        <v>93</v>
      </c>
      <c r="CF429" s="3">
        <v>45996</v>
      </c>
      <c r="CI429">
        <v>1</v>
      </c>
      <c r="CJ429">
        <v>1</v>
      </c>
      <c r="CK429">
        <v>43</v>
      </c>
      <c r="CL429" t="s">
        <v>87</v>
      </c>
    </row>
    <row r="430" spans="1:90" x14ac:dyDescent="0.3">
      <c r="A430" t="s">
        <v>72</v>
      </c>
      <c r="B430" t="s">
        <v>73</v>
      </c>
      <c r="C430" t="s">
        <v>74</v>
      </c>
      <c r="E430" t="str">
        <f>"080069655488"</f>
        <v>080069655488</v>
      </c>
      <c r="F430" s="3">
        <v>45994</v>
      </c>
      <c r="G430">
        <v>202609</v>
      </c>
      <c r="H430" t="s">
        <v>75</v>
      </c>
      <c r="I430" t="s">
        <v>76</v>
      </c>
      <c r="J430" t="s">
        <v>77</v>
      </c>
      <c r="K430" t="s">
        <v>78</v>
      </c>
      <c r="L430" t="s">
        <v>141</v>
      </c>
      <c r="M430" t="s">
        <v>142</v>
      </c>
      <c r="N430" t="s">
        <v>1126</v>
      </c>
      <c r="O430" t="s">
        <v>89</v>
      </c>
      <c r="P430" t="str">
        <f>"4170071708                    "</f>
        <v xml:space="preserve">4170071708                    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0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51.04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1</v>
      </c>
      <c r="BI430">
        <v>4</v>
      </c>
      <c r="BJ430">
        <v>1.8</v>
      </c>
      <c r="BK430">
        <v>4</v>
      </c>
      <c r="BL430">
        <v>152.1</v>
      </c>
      <c r="BM430">
        <v>22.82</v>
      </c>
      <c r="BN430">
        <v>174.92</v>
      </c>
      <c r="BO430">
        <v>174.92</v>
      </c>
      <c r="BQ430" t="s">
        <v>1127</v>
      </c>
      <c r="BR430" t="s">
        <v>82</v>
      </c>
      <c r="BS430" s="3">
        <v>45995</v>
      </c>
      <c r="BT430" s="4">
        <v>0.40972222222222221</v>
      </c>
      <c r="BU430" t="s">
        <v>1128</v>
      </c>
      <c r="BV430" t="s">
        <v>84</v>
      </c>
      <c r="BY430">
        <v>8816</v>
      </c>
      <c r="BZ430" t="s">
        <v>271</v>
      </c>
      <c r="CA430" t="s">
        <v>146</v>
      </c>
      <c r="CC430" t="s">
        <v>142</v>
      </c>
      <c r="CD430">
        <v>6001</v>
      </c>
      <c r="CE430" t="s">
        <v>147</v>
      </c>
      <c r="CF430" s="3">
        <v>45995</v>
      </c>
      <c r="CI430">
        <v>1</v>
      </c>
      <c r="CJ430">
        <v>1</v>
      </c>
      <c r="CK430">
        <v>21</v>
      </c>
      <c r="CL430" t="s">
        <v>87</v>
      </c>
    </row>
    <row r="431" spans="1:90" x14ac:dyDescent="0.3">
      <c r="A431" t="s">
        <v>72</v>
      </c>
      <c r="B431" t="s">
        <v>73</v>
      </c>
      <c r="C431" t="s">
        <v>74</v>
      </c>
      <c r="E431" t="str">
        <f>"080069655650"</f>
        <v>080069655650</v>
      </c>
      <c r="F431" s="3">
        <v>45994</v>
      </c>
      <c r="G431">
        <v>202609</v>
      </c>
      <c r="H431" t="s">
        <v>75</v>
      </c>
      <c r="I431" t="s">
        <v>76</v>
      </c>
      <c r="J431" t="s">
        <v>77</v>
      </c>
      <c r="K431" t="s">
        <v>78</v>
      </c>
      <c r="L431" t="s">
        <v>100</v>
      </c>
      <c r="M431" t="s">
        <v>101</v>
      </c>
      <c r="N431" t="s">
        <v>166</v>
      </c>
      <c r="O431" t="s">
        <v>89</v>
      </c>
      <c r="P431" t="str">
        <f>"4170071749                    "</f>
        <v xml:space="preserve">4170071749                    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0</v>
      </c>
      <c r="AG431">
        <v>0</v>
      </c>
      <c r="AH431">
        <v>0</v>
      </c>
      <c r="AI431">
        <v>0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25.52</v>
      </c>
      <c r="AR431">
        <v>0</v>
      </c>
      <c r="AS431">
        <v>0</v>
      </c>
      <c r="AT431">
        <v>0</v>
      </c>
      <c r="AU431">
        <v>0</v>
      </c>
      <c r="AV431">
        <v>0</v>
      </c>
      <c r="AW431">
        <v>0</v>
      </c>
      <c r="AX431">
        <v>0</v>
      </c>
      <c r="AY431">
        <v>0</v>
      </c>
      <c r="AZ431">
        <v>0</v>
      </c>
      <c r="BA431">
        <v>0</v>
      </c>
      <c r="BB431">
        <v>0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1</v>
      </c>
      <c r="BI431">
        <v>1</v>
      </c>
      <c r="BJ431">
        <v>0.2</v>
      </c>
      <c r="BK431">
        <v>1</v>
      </c>
      <c r="BL431">
        <v>76.06</v>
      </c>
      <c r="BM431">
        <v>11.41</v>
      </c>
      <c r="BN431">
        <v>87.47</v>
      </c>
      <c r="BO431">
        <v>87.47</v>
      </c>
      <c r="BQ431" t="s">
        <v>167</v>
      </c>
      <c r="BR431" t="s">
        <v>82</v>
      </c>
      <c r="BS431" s="3">
        <v>45995</v>
      </c>
      <c r="BT431" s="4">
        <v>0.47986111111111113</v>
      </c>
      <c r="BU431" t="s">
        <v>1129</v>
      </c>
      <c r="BV431" t="s">
        <v>87</v>
      </c>
      <c r="BY431">
        <v>1200</v>
      </c>
      <c r="CA431" t="s">
        <v>939</v>
      </c>
      <c r="CC431" t="s">
        <v>101</v>
      </c>
      <c r="CD431">
        <v>4000</v>
      </c>
      <c r="CE431" t="s">
        <v>134</v>
      </c>
      <c r="CF431" s="3">
        <v>45995</v>
      </c>
      <c r="CI431">
        <v>1</v>
      </c>
      <c r="CJ431">
        <v>1</v>
      </c>
      <c r="CK431">
        <v>21</v>
      </c>
      <c r="CL431" t="s">
        <v>87</v>
      </c>
    </row>
    <row r="432" spans="1:90" x14ac:dyDescent="0.3">
      <c r="A432" t="s">
        <v>72</v>
      </c>
      <c r="B432" t="s">
        <v>73</v>
      </c>
      <c r="C432" t="s">
        <v>74</v>
      </c>
      <c r="E432" t="str">
        <f>"080069655660"</f>
        <v>080069655660</v>
      </c>
      <c r="F432" s="3">
        <v>45994</v>
      </c>
      <c r="G432">
        <v>202609</v>
      </c>
      <c r="H432" t="s">
        <v>75</v>
      </c>
      <c r="I432" t="s">
        <v>76</v>
      </c>
      <c r="J432" t="s">
        <v>77</v>
      </c>
      <c r="K432" t="s">
        <v>78</v>
      </c>
      <c r="L432" t="s">
        <v>156</v>
      </c>
      <c r="M432" t="s">
        <v>157</v>
      </c>
      <c r="N432" t="s">
        <v>158</v>
      </c>
      <c r="O432" t="s">
        <v>89</v>
      </c>
      <c r="P432" t="str">
        <f>"4170071657                    "</f>
        <v xml:space="preserve">4170071657                    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0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25.52</v>
      </c>
      <c r="AR432">
        <v>0</v>
      </c>
      <c r="AS432">
        <v>0</v>
      </c>
      <c r="AT432">
        <v>0</v>
      </c>
      <c r="AU432">
        <v>0</v>
      </c>
      <c r="AV432">
        <v>0</v>
      </c>
      <c r="AW432">
        <v>0</v>
      </c>
      <c r="AX432">
        <v>0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1</v>
      </c>
      <c r="BI432">
        <v>1</v>
      </c>
      <c r="BJ432">
        <v>0.2</v>
      </c>
      <c r="BK432">
        <v>1</v>
      </c>
      <c r="BL432">
        <v>76.06</v>
      </c>
      <c r="BM432">
        <v>11.41</v>
      </c>
      <c r="BN432">
        <v>87.47</v>
      </c>
      <c r="BO432">
        <v>87.47</v>
      </c>
      <c r="BQ432" t="s">
        <v>159</v>
      </c>
      <c r="BR432" t="s">
        <v>82</v>
      </c>
      <c r="BS432" s="3">
        <v>45995</v>
      </c>
      <c r="BT432" s="4">
        <v>0.46319444444444446</v>
      </c>
      <c r="BU432" t="s">
        <v>160</v>
      </c>
      <c r="BV432" t="s">
        <v>87</v>
      </c>
      <c r="BY432">
        <v>1200</v>
      </c>
      <c r="CA432" t="s">
        <v>162</v>
      </c>
      <c r="CC432" t="s">
        <v>157</v>
      </c>
      <c r="CD432">
        <v>7530</v>
      </c>
      <c r="CE432" t="s">
        <v>134</v>
      </c>
      <c r="CF432" s="3">
        <v>45997</v>
      </c>
      <c r="CI432">
        <v>1</v>
      </c>
      <c r="CJ432">
        <v>1</v>
      </c>
      <c r="CK432">
        <v>21</v>
      </c>
      <c r="CL432" t="s">
        <v>87</v>
      </c>
    </row>
    <row r="433" spans="1:90" x14ac:dyDescent="0.3">
      <c r="A433" t="s">
        <v>72</v>
      </c>
      <c r="B433" t="s">
        <v>73</v>
      </c>
      <c r="C433" t="s">
        <v>74</v>
      </c>
      <c r="E433" t="str">
        <f>"080069655683"</f>
        <v>080069655683</v>
      </c>
      <c r="F433" s="3">
        <v>45994</v>
      </c>
      <c r="G433">
        <v>202609</v>
      </c>
      <c r="H433" t="s">
        <v>75</v>
      </c>
      <c r="I433" t="s">
        <v>76</v>
      </c>
      <c r="J433" t="s">
        <v>77</v>
      </c>
      <c r="K433" t="s">
        <v>78</v>
      </c>
      <c r="L433" t="s">
        <v>156</v>
      </c>
      <c r="M433" t="s">
        <v>157</v>
      </c>
      <c r="N433" t="s">
        <v>261</v>
      </c>
      <c r="O433" t="s">
        <v>89</v>
      </c>
      <c r="P433" t="str">
        <f>"4170071646                    "</f>
        <v xml:space="preserve">4170071646                    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0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25.52</v>
      </c>
      <c r="AR433">
        <v>0</v>
      </c>
      <c r="AS433">
        <v>0</v>
      </c>
      <c r="AT433">
        <v>0</v>
      </c>
      <c r="AU433">
        <v>0</v>
      </c>
      <c r="AV433">
        <v>0</v>
      </c>
      <c r="AW433">
        <v>0</v>
      </c>
      <c r="AX433">
        <v>0</v>
      </c>
      <c r="AY433">
        <v>0</v>
      </c>
      <c r="AZ433">
        <v>0</v>
      </c>
      <c r="BA433">
        <v>0</v>
      </c>
      <c r="BB433">
        <v>0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1</v>
      </c>
      <c r="BI433">
        <v>1</v>
      </c>
      <c r="BJ433">
        <v>0.2</v>
      </c>
      <c r="BK433">
        <v>1</v>
      </c>
      <c r="BL433">
        <v>76.06</v>
      </c>
      <c r="BM433">
        <v>11.41</v>
      </c>
      <c r="BN433">
        <v>87.47</v>
      </c>
      <c r="BO433">
        <v>87.47</v>
      </c>
      <c r="BQ433" t="s">
        <v>262</v>
      </c>
      <c r="BR433" t="s">
        <v>82</v>
      </c>
      <c r="BS433" s="3">
        <v>45995</v>
      </c>
      <c r="BT433" s="4">
        <v>0.40902777777777777</v>
      </c>
      <c r="BU433" t="s">
        <v>1130</v>
      </c>
      <c r="BV433" t="s">
        <v>84</v>
      </c>
      <c r="BY433">
        <v>1200</v>
      </c>
      <c r="BZ433" t="s">
        <v>271</v>
      </c>
      <c r="CA433" t="s">
        <v>264</v>
      </c>
      <c r="CC433" t="s">
        <v>157</v>
      </c>
      <c r="CD433">
        <v>7441</v>
      </c>
      <c r="CE433" t="s">
        <v>127</v>
      </c>
      <c r="CF433" s="3">
        <v>45996</v>
      </c>
      <c r="CI433">
        <v>1</v>
      </c>
      <c r="CJ433">
        <v>1</v>
      </c>
      <c r="CK433">
        <v>21</v>
      </c>
      <c r="CL433" t="s">
        <v>87</v>
      </c>
    </row>
    <row r="434" spans="1:90" x14ac:dyDescent="0.3">
      <c r="A434" t="s">
        <v>72</v>
      </c>
      <c r="B434" t="s">
        <v>73</v>
      </c>
      <c r="C434" t="s">
        <v>74</v>
      </c>
      <c r="E434" t="str">
        <f>"080069655684"</f>
        <v>080069655684</v>
      </c>
      <c r="F434" s="3">
        <v>45994</v>
      </c>
      <c r="G434">
        <v>202609</v>
      </c>
      <c r="H434" t="s">
        <v>75</v>
      </c>
      <c r="I434" t="s">
        <v>76</v>
      </c>
      <c r="J434" t="s">
        <v>77</v>
      </c>
      <c r="K434" t="s">
        <v>78</v>
      </c>
      <c r="L434" t="s">
        <v>482</v>
      </c>
      <c r="M434" t="s">
        <v>483</v>
      </c>
      <c r="N434" t="s">
        <v>484</v>
      </c>
      <c r="O434" t="s">
        <v>80</v>
      </c>
      <c r="P434" t="str">
        <f>"4170071636                    "</f>
        <v xml:space="preserve">4170071636                    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69.61</v>
      </c>
      <c r="AR434">
        <v>0</v>
      </c>
      <c r="AS434">
        <v>0</v>
      </c>
      <c r="AT434">
        <v>0</v>
      </c>
      <c r="AU434">
        <v>0</v>
      </c>
      <c r="AV434">
        <v>0</v>
      </c>
      <c r="AW434">
        <v>0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2</v>
      </c>
      <c r="BI434">
        <v>10</v>
      </c>
      <c r="BJ434">
        <v>4</v>
      </c>
      <c r="BK434">
        <v>10</v>
      </c>
      <c r="BL434">
        <v>213.56</v>
      </c>
      <c r="BM434">
        <v>32.03</v>
      </c>
      <c r="BN434">
        <v>245.59</v>
      </c>
      <c r="BO434">
        <v>245.59</v>
      </c>
      <c r="BQ434" t="s">
        <v>485</v>
      </c>
      <c r="BR434" t="s">
        <v>82</v>
      </c>
      <c r="BS434" s="3">
        <v>45995</v>
      </c>
      <c r="BT434" s="4">
        <v>0.4777777777777778</v>
      </c>
      <c r="BU434" t="s">
        <v>176</v>
      </c>
      <c r="BV434" t="s">
        <v>84</v>
      </c>
      <c r="BY434">
        <v>20064</v>
      </c>
      <c r="CA434">
        <v>7711215278081</v>
      </c>
      <c r="CC434" t="s">
        <v>483</v>
      </c>
      <c r="CD434">
        <v>1873</v>
      </c>
      <c r="CE434" t="s">
        <v>654</v>
      </c>
      <c r="CF434" s="3">
        <v>45996</v>
      </c>
      <c r="CI434">
        <v>1</v>
      </c>
      <c r="CJ434">
        <v>1</v>
      </c>
      <c r="CK434">
        <v>43</v>
      </c>
      <c r="CL434" t="s">
        <v>87</v>
      </c>
    </row>
    <row r="435" spans="1:90" x14ac:dyDescent="0.3">
      <c r="A435" t="s">
        <v>72</v>
      </c>
      <c r="B435" t="s">
        <v>73</v>
      </c>
      <c r="C435" t="s">
        <v>74</v>
      </c>
      <c r="E435" t="str">
        <f>"080069655702"</f>
        <v>080069655702</v>
      </c>
      <c r="F435" s="3">
        <v>45994</v>
      </c>
      <c r="G435">
        <v>202609</v>
      </c>
      <c r="H435" t="s">
        <v>75</v>
      </c>
      <c r="I435" t="s">
        <v>76</v>
      </c>
      <c r="J435" t="s">
        <v>77</v>
      </c>
      <c r="K435" t="s">
        <v>78</v>
      </c>
      <c r="L435" t="s">
        <v>528</v>
      </c>
      <c r="M435" t="s">
        <v>529</v>
      </c>
      <c r="N435" t="s">
        <v>1131</v>
      </c>
      <c r="O435" t="s">
        <v>89</v>
      </c>
      <c r="P435" t="str">
        <f>"4170071690                    "</f>
        <v xml:space="preserve">4170071690                    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0</v>
      </c>
      <c r="AJ435">
        <v>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49.45</v>
      </c>
      <c r="AR435">
        <v>0</v>
      </c>
      <c r="AS435">
        <v>0</v>
      </c>
      <c r="AT435">
        <v>0</v>
      </c>
      <c r="AU435">
        <v>0</v>
      </c>
      <c r="AV435">
        <v>0</v>
      </c>
      <c r="AW435">
        <v>17.41</v>
      </c>
      <c r="AX435">
        <v>0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1</v>
      </c>
      <c r="BI435">
        <v>1</v>
      </c>
      <c r="BJ435">
        <v>0.2</v>
      </c>
      <c r="BK435">
        <v>1</v>
      </c>
      <c r="BL435">
        <v>164.79</v>
      </c>
      <c r="BM435">
        <v>24.72</v>
      </c>
      <c r="BN435">
        <v>189.51</v>
      </c>
      <c r="BO435">
        <v>189.51</v>
      </c>
      <c r="BQ435" t="s">
        <v>1132</v>
      </c>
      <c r="BR435" t="s">
        <v>82</v>
      </c>
      <c r="BS435" s="3">
        <v>45995</v>
      </c>
      <c r="BT435" s="4">
        <v>0.54166666666666663</v>
      </c>
      <c r="BU435" t="s">
        <v>1133</v>
      </c>
      <c r="BV435" t="s">
        <v>84</v>
      </c>
      <c r="BY435">
        <v>1200</v>
      </c>
      <c r="BZ435" t="s">
        <v>30</v>
      </c>
      <c r="CC435" t="s">
        <v>529</v>
      </c>
      <c r="CD435" s="5" t="s">
        <v>1134</v>
      </c>
      <c r="CE435" t="s">
        <v>134</v>
      </c>
      <c r="CF435" s="3">
        <v>45996</v>
      </c>
      <c r="CI435">
        <v>1</v>
      </c>
      <c r="CJ435">
        <v>1</v>
      </c>
      <c r="CK435">
        <v>23</v>
      </c>
      <c r="CL435" t="s">
        <v>87</v>
      </c>
    </row>
    <row r="436" spans="1:90" x14ac:dyDescent="0.3">
      <c r="A436" t="s">
        <v>72</v>
      </c>
      <c r="B436" t="s">
        <v>73</v>
      </c>
      <c r="C436" t="s">
        <v>74</v>
      </c>
      <c r="E436" t="str">
        <f>"080069655707"</f>
        <v>080069655707</v>
      </c>
      <c r="F436" s="3">
        <v>45994</v>
      </c>
      <c r="G436">
        <v>202609</v>
      </c>
      <c r="H436" t="s">
        <v>75</v>
      </c>
      <c r="I436" t="s">
        <v>76</v>
      </c>
      <c r="J436" t="s">
        <v>77</v>
      </c>
      <c r="K436" t="s">
        <v>78</v>
      </c>
      <c r="L436" t="s">
        <v>128</v>
      </c>
      <c r="M436" t="s">
        <v>129</v>
      </c>
      <c r="N436" t="s">
        <v>183</v>
      </c>
      <c r="O436" t="s">
        <v>89</v>
      </c>
      <c r="P436" t="str">
        <f>"4170071719                    "</f>
        <v xml:space="preserve">4170071719                    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0</v>
      </c>
      <c r="AH436">
        <v>0</v>
      </c>
      <c r="AI436">
        <v>0</v>
      </c>
      <c r="AJ436">
        <v>0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25.52</v>
      </c>
      <c r="AR436">
        <v>0</v>
      </c>
      <c r="AS436">
        <v>0</v>
      </c>
      <c r="AT436">
        <v>0</v>
      </c>
      <c r="AU436">
        <v>0</v>
      </c>
      <c r="AV436">
        <v>0</v>
      </c>
      <c r="AW436">
        <v>0</v>
      </c>
      <c r="AX436">
        <v>0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1</v>
      </c>
      <c r="BI436">
        <v>2</v>
      </c>
      <c r="BJ436">
        <v>1.7</v>
      </c>
      <c r="BK436">
        <v>2</v>
      </c>
      <c r="BL436">
        <v>76.06</v>
      </c>
      <c r="BM436">
        <v>11.41</v>
      </c>
      <c r="BN436">
        <v>87.47</v>
      </c>
      <c r="BO436">
        <v>87.47</v>
      </c>
      <c r="BQ436" t="s">
        <v>184</v>
      </c>
      <c r="BR436" t="s">
        <v>82</v>
      </c>
      <c r="BS436" s="3">
        <v>45995</v>
      </c>
      <c r="BT436" s="4">
        <v>0.56319444444444444</v>
      </c>
      <c r="BU436" t="s">
        <v>913</v>
      </c>
      <c r="BV436" t="s">
        <v>87</v>
      </c>
      <c r="BY436">
        <v>8550</v>
      </c>
      <c r="CA436" t="s">
        <v>188</v>
      </c>
      <c r="CC436" t="s">
        <v>129</v>
      </c>
      <c r="CD436">
        <v>5201</v>
      </c>
      <c r="CE436" t="s">
        <v>86</v>
      </c>
      <c r="CF436" s="3">
        <v>45996</v>
      </c>
      <c r="CI436">
        <v>1</v>
      </c>
      <c r="CJ436">
        <v>1</v>
      </c>
      <c r="CK436">
        <v>21</v>
      </c>
      <c r="CL436" t="s">
        <v>87</v>
      </c>
    </row>
    <row r="437" spans="1:90" x14ac:dyDescent="0.3">
      <c r="A437" t="s">
        <v>72</v>
      </c>
      <c r="B437" t="s">
        <v>73</v>
      </c>
      <c r="C437" t="s">
        <v>74</v>
      </c>
      <c r="E437" t="str">
        <f>"080069655717"</f>
        <v>080069655717</v>
      </c>
      <c r="F437" s="3">
        <v>45994</v>
      </c>
      <c r="G437">
        <v>202609</v>
      </c>
      <c r="H437" t="s">
        <v>75</v>
      </c>
      <c r="I437" t="s">
        <v>76</v>
      </c>
      <c r="J437" t="s">
        <v>77</v>
      </c>
      <c r="K437" t="s">
        <v>78</v>
      </c>
      <c r="L437" t="s">
        <v>302</v>
      </c>
      <c r="M437" t="s">
        <v>303</v>
      </c>
      <c r="N437" t="s">
        <v>1135</v>
      </c>
      <c r="O437" t="s">
        <v>89</v>
      </c>
      <c r="P437" t="str">
        <f>"4170071677                    "</f>
        <v xml:space="preserve">4170071677                    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0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25.52</v>
      </c>
      <c r="AR437">
        <v>0</v>
      </c>
      <c r="AS437">
        <v>0</v>
      </c>
      <c r="AT437">
        <v>0</v>
      </c>
      <c r="AU437">
        <v>0</v>
      </c>
      <c r="AV437">
        <v>0</v>
      </c>
      <c r="AW437">
        <v>0</v>
      </c>
      <c r="AX437">
        <v>0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1</v>
      </c>
      <c r="BI437">
        <v>1</v>
      </c>
      <c r="BJ437">
        <v>0.2</v>
      </c>
      <c r="BK437">
        <v>1</v>
      </c>
      <c r="BL437">
        <v>76.06</v>
      </c>
      <c r="BM437">
        <v>11.41</v>
      </c>
      <c r="BN437">
        <v>87.47</v>
      </c>
      <c r="BO437">
        <v>87.47</v>
      </c>
      <c r="BQ437" t="s">
        <v>1136</v>
      </c>
      <c r="BR437" t="s">
        <v>82</v>
      </c>
      <c r="BS437" s="3">
        <v>45995</v>
      </c>
      <c r="BT437" s="4">
        <v>0.40208333333333335</v>
      </c>
      <c r="BU437" t="s">
        <v>1137</v>
      </c>
      <c r="BV437" t="s">
        <v>84</v>
      </c>
      <c r="BY437">
        <v>1200</v>
      </c>
      <c r="CA437">
        <v>9103185460089</v>
      </c>
      <c r="CC437" t="s">
        <v>303</v>
      </c>
      <c r="CD437" s="5" t="s">
        <v>433</v>
      </c>
      <c r="CE437" t="s">
        <v>134</v>
      </c>
      <c r="CF437" s="3">
        <v>45995</v>
      </c>
      <c r="CI437">
        <v>1</v>
      </c>
      <c r="CJ437">
        <v>1</v>
      </c>
      <c r="CK437">
        <v>21</v>
      </c>
      <c r="CL437" t="s">
        <v>87</v>
      </c>
    </row>
    <row r="438" spans="1:90" x14ac:dyDescent="0.3">
      <c r="A438" t="s">
        <v>72</v>
      </c>
      <c r="B438" t="s">
        <v>73</v>
      </c>
      <c r="C438" t="s">
        <v>74</v>
      </c>
      <c r="E438" t="str">
        <f>"080069655720"</f>
        <v>080069655720</v>
      </c>
      <c r="F438" s="3">
        <v>45994</v>
      </c>
      <c r="G438">
        <v>202609</v>
      </c>
      <c r="H438" t="s">
        <v>75</v>
      </c>
      <c r="I438" t="s">
        <v>76</v>
      </c>
      <c r="J438" t="s">
        <v>77</v>
      </c>
      <c r="K438" t="s">
        <v>78</v>
      </c>
      <c r="L438" t="s">
        <v>141</v>
      </c>
      <c r="M438" t="s">
        <v>142</v>
      </c>
      <c r="N438" t="s">
        <v>568</v>
      </c>
      <c r="O438" t="s">
        <v>89</v>
      </c>
      <c r="P438" t="str">
        <f>"4170071660                    "</f>
        <v xml:space="preserve">4170071660                    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0</v>
      </c>
      <c r="AI438">
        <v>0</v>
      </c>
      <c r="AJ438">
        <v>0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25.52</v>
      </c>
      <c r="AR438">
        <v>0</v>
      </c>
      <c r="AS438">
        <v>0</v>
      </c>
      <c r="AT438">
        <v>0</v>
      </c>
      <c r="AU438">
        <v>0</v>
      </c>
      <c r="AV438">
        <v>0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1</v>
      </c>
      <c r="BI438">
        <v>1</v>
      </c>
      <c r="BJ438">
        <v>1.1000000000000001</v>
      </c>
      <c r="BK438">
        <v>1.5</v>
      </c>
      <c r="BL438">
        <v>76.06</v>
      </c>
      <c r="BM438">
        <v>11.41</v>
      </c>
      <c r="BN438">
        <v>87.47</v>
      </c>
      <c r="BO438">
        <v>87.47</v>
      </c>
      <c r="BQ438" t="s">
        <v>569</v>
      </c>
      <c r="BR438" t="s">
        <v>82</v>
      </c>
      <c r="BS438" s="3">
        <v>45995</v>
      </c>
      <c r="BT438" s="4">
        <v>0.44930555555555557</v>
      </c>
      <c r="BU438" t="s">
        <v>1138</v>
      </c>
      <c r="BV438" t="s">
        <v>87</v>
      </c>
      <c r="BY438">
        <v>5510</v>
      </c>
      <c r="CA438" t="s">
        <v>571</v>
      </c>
      <c r="CC438" t="s">
        <v>142</v>
      </c>
      <c r="CD438">
        <v>6056</v>
      </c>
      <c r="CE438" t="s">
        <v>86</v>
      </c>
      <c r="CF438" s="3">
        <v>45995</v>
      </c>
      <c r="CI438">
        <v>1</v>
      </c>
      <c r="CJ438">
        <v>1</v>
      </c>
      <c r="CK438">
        <v>21</v>
      </c>
      <c r="CL438" t="s">
        <v>87</v>
      </c>
    </row>
    <row r="439" spans="1:90" x14ac:dyDescent="0.3">
      <c r="A439" t="s">
        <v>72</v>
      </c>
      <c r="B439" t="s">
        <v>73</v>
      </c>
      <c r="C439" t="s">
        <v>74</v>
      </c>
      <c r="E439" t="str">
        <f>"080069655748"</f>
        <v>080069655748</v>
      </c>
      <c r="F439" s="3">
        <v>45994</v>
      </c>
      <c r="G439">
        <v>202609</v>
      </c>
      <c r="H439" t="s">
        <v>75</v>
      </c>
      <c r="I439" t="s">
        <v>76</v>
      </c>
      <c r="J439" t="s">
        <v>77</v>
      </c>
      <c r="K439" t="s">
        <v>78</v>
      </c>
      <c r="L439" t="s">
        <v>781</v>
      </c>
      <c r="M439" t="s">
        <v>782</v>
      </c>
      <c r="N439" t="s">
        <v>1139</v>
      </c>
      <c r="O439" t="s">
        <v>89</v>
      </c>
      <c r="P439" t="str">
        <f>"4170071664                    "</f>
        <v xml:space="preserve">4170071664                    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0</v>
      </c>
      <c r="AG439">
        <v>0</v>
      </c>
      <c r="AH439">
        <v>0</v>
      </c>
      <c r="AI439">
        <v>0</v>
      </c>
      <c r="AJ439">
        <v>0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89.3</v>
      </c>
      <c r="AR439">
        <v>0</v>
      </c>
      <c r="AS439">
        <v>0</v>
      </c>
      <c r="AT439">
        <v>0</v>
      </c>
      <c r="AU439">
        <v>0</v>
      </c>
      <c r="AV439">
        <v>0</v>
      </c>
      <c r="AW439">
        <v>0</v>
      </c>
      <c r="AX439">
        <v>0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1</v>
      </c>
      <c r="BI439">
        <v>4</v>
      </c>
      <c r="BJ439">
        <v>6.8</v>
      </c>
      <c r="BK439">
        <v>7</v>
      </c>
      <c r="BL439">
        <v>266.14</v>
      </c>
      <c r="BM439">
        <v>39.92</v>
      </c>
      <c r="BN439">
        <v>306.06</v>
      </c>
      <c r="BO439">
        <v>306.06</v>
      </c>
      <c r="BQ439" t="s">
        <v>1140</v>
      </c>
      <c r="BR439" t="s">
        <v>82</v>
      </c>
      <c r="BS439" s="3">
        <v>45996</v>
      </c>
      <c r="BT439" s="4">
        <v>0.43125000000000002</v>
      </c>
      <c r="BU439" t="s">
        <v>1141</v>
      </c>
      <c r="BV439" t="s">
        <v>87</v>
      </c>
      <c r="BY439">
        <v>33920</v>
      </c>
      <c r="CA439" t="s">
        <v>630</v>
      </c>
      <c r="CC439" t="s">
        <v>782</v>
      </c>
      <c r="CD439">
        <v>4113</v>
      </c>
      <c r="CE439" t="s">
        <v>93</v>
      </c>
      <c r="CF439" s="3">
        <v>45997</v>
      </c>
      <c r="CI439">
        <v>1</v>
      </c>
      <c r="CJ439">
        <v>2</v>
      </c>
      <c r="CK439">
        <v>21</v>
      </c>
      <c r="CL439" t="s">
        <v>87</v>
      </c>
    </row>
    <row r="440" spans="1:90" x14ac:dyDescent="0.3">
      <c r="A440" t="s">
        <v>72</v>
      </c>
      <c r="B440" t="s">
        <v>73</v>
      </c>
      <c r="C440" t="s">
        <v>74</v>
      </c>
      <c r="E440" t="str">
        <f>"080069655820"</f>
        <v>080069655820</v>
      </c>
      <c r="F440" s="3">
        <v>45994</v>
      </c>
      <c r="G440">
        <v>202609</v>
      </c>
      <c r="H440" t="s">
        <v>75</v>
      </c>
      <c r="I440" t="s">
        <v>76</v>
      </c>
      <c r="J440" t="s">
        <v>77</v>
      </c>
      <c r="K440" t="s">
        <v>78</v>
      </c>
      <c r="L440" t="s">
        <v>781</v>
      </c>
      <c r="M440" t="s">
        <v>782</v>
      </c>
      <c r="N440" t="s">
        <v>1142</v>
      </c>
      <c r="O440" t="s">
        <v>89</v>
      </c>
      <c r="P440" t="str">
        <f>"4170071803                    "</f>
        <v xml:space="preserve">4170071803                    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0</v>
      </c>
      <c r="AH440">
        <v>0</v>
      </c>
      <c r="AI440">
        <v>0</v>
      </c>
      <c r="AJ440">
        <v>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51.04</v>
      </c>
      <c r="AR440">
        <v>0</v>
      </c>
      <c r="AS440">
        <v>0</v>
      </c>
      <c r="AT440">
        <v>0</v>
      </c>
      <c r="AU440">
        <v>0</v>
      </c>
      <c r="AV440">
        <v>0</v>
      </c>
      <c r="AW440">
        <v>0</v>
      </c>
      <c r="AX440">
        <v>0</v>
      </c>
      <c r="AY440">
        <v>0</v>
      </c>
      <c r="AZ440">
        <v>0</v>
      </c>
      <c r="BA440">
        <v>0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1</v>
      </c>
      <c r="BI440">
        <v>4</v>
      </c>
      <c r="BJ440">
        <v>2.5</v>
      </c>
      <c r="BK440">
        <v>4</v>
      </c>
      <c r="BL440">
        <v>152.1</v>
      </c>
      <c r="BM440">
        <v>22.82</v>
      </c>
      <c r="BN440">
        <v>174.92</v>
      </c>
      <c r="BO440">
        <v>174.92</v>
      </c>
      <c r="BQ440" t="s">
        <v>1143</v>
      </c>
      <c r="BR440" t="s">
        <v>82</v>
      </c>
      <c r="BS440" s="3">
        <v>45995</v>
      </c>
      <c r="BT440" s="4">
        <v>0.63888888888888884</v>
      </c>
      <c r="BU440" t="s">
        <v>1144</v>
      </c>
      <c r="BV440" t="s">
        <v>87</v>
      </c>
      <c r="BY440">
        <v>12544</v>
      </c>
      <c r="CA440" t="s">
        <v>630</v>
      </c>
      <c r="CC440" t="s">
        <v>782</v>
      </c>
      <c r="CD440">
        <v>4133</v>
      </c>
      <c r="CE440" t="s">
        <v>93</v>
      </c>
      <c r="CF440" s="3">
        <v>45996</v>
      </c>
      <c r="CI440">
        <v>1</v>
      </c>
      <c r="CJ440">
        <v>1</v>
      </c>
      <c r="CK440">
        <v>21</v>
      </c>
      <c r="CL440" t="s">
        <v>87</v>
      </c>
    </row>
    <row r="441" spans="1:90" x14ac:dyDescent="0.3">
      <c r="A441" t="s">
        <v>72</v>
      </c>
      <c r="B441" t="s">
        <v>73</v>
      </c>
      <c r="C441" t="s">
        <v>74</v>
      </c>
      <c r="E441" t="str">
        <f>"080069656018"</f>
        <v>080069656018</v>
      </c>
      <c r="F441" s="3">
        <v>45994</v>
      </c>
      <c r="G441">
        <v>202609</v>
      </c>
      <c r="H441" t="s">
        <v>75</v>
      </c>
      <c r="I441" t="s">
        <v>76</v>
      </c>
      <c r="J441" t="s">
        <v>77</v>
      </c>
      <c r="K441" t="s">
        <v>78</v>
      </c>
      <c r="L441" t="s">
        <v>465</v>
      </c>
      <c r="M441" t="s">
        <v>466</v>
      </c>
      <c r="N441" t="s">
        <v>738</v>
      </c>
      <c r="O441" t="s">
        <v>89</v>
      </c>
      <c r="P441" t="str">
        <f>"4170071686                    "</f>
        <v xml:space="preserve">4170071686                    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0</v>
      </c>
      <c r="AE441">
        <v>0</v>
      </c>
      <c r="AF441">
        <v>0</v>
      </c>
      <c r="AG441">
        <v>0</v>
      </c>
      <c r="AH441">
        <v>0</v>
      </c>
      <c r="AI441">
        <v>0</v>
      </c>
      <c r="AJ441">
        <v>0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19.940000000000001</v>
      </c>
      <c r="AR441">
        <v>0</v>
      </c>
      <c r="AS441">
        <v>0</v>
      </c>
      <c r="AT441">
        <v>0</v>
      </c>
      <c r="AU441">
        <v>0</v>
      </c>
      <c r="AV441">
        <v>0</v>
      </c>
      <c r="AW441">
        <v>0</v>
      </c>
      <c r="AX441">
        <v>0</v>
      </c>
      <c r="AY441">
        <v>0</v>
      </c>
      <c r="AZ441">
        <v>0</v>
      </c>
      <c r="BA441">
        <v>0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1</v>
      </c>
      <c r="BI441">
        <v>1</v>
      </c>
      <c r="BJ441">
        <v>0.2</v>
      </c>
      <c r="BK441">
        <v>1</v>
      </c>
      <c r="BL441">
        <v>59.42</v>
      </c>
      <c r="BM441">
        <v>8.91</v>
      </c>
      <c r="BN441">
        <v>68.33</v>
      </c>
      <c r="BO441">
        <v>68.33</v>
      </c>
      <c r="BQ441" t="s">
        <v>739</v>
      </c>
      <c r="BR441" t="s">
        <v>82</v>
      </c>
      <c r="BS441" s="3">
        <v>45995</v>
      </c>
      <c r="BT441" s="4">
        <v>0.40972222222222221</v>
      </c>
      <c r="BU441" t="s">
        <v>1013</v>
      </c>
      <c r="BV441" t="s">
        <v>84</v>
      </c>
      <c r="BY441">
        <v>1200</v>
      </c>
      <c r="CA441" t="s">
        <v>727</v>
      </c>
      <c r="CC441" t="s">
        <v>466</v>
      </c>
      <c r="CD441">
        <v>1428</v>
      </c>
      <c r="CE441" t="s">
        <v>134</v>
      </c>
      <c r="CF441" s="3">
        <v>45996</v>
      </c>
      <c r="CI441">
        <v>1</v>
      </c>
      <c r="CJ441">
        <v>1</v>
      </c>
      <c r="CK441">
        <v>22</v>
      </c>
      <c r="CL441" t="s">
        <v>87</v>
      </c>
    </row>
    <row r="442" spans="1:90" x14ac:dyDescent="0.3">
      <c r="A442" t="s">
        <v>72</v>
      </c>
      <c r="B442" t="s">
        <v>73</v>
      </c>
      <c r="C442" t="s">
        <v>74</v>
      </c>
      <c r="E442" t="str">
        <f>"080069656023"</f>
        <v>080069656023</v>
      </c>
      <c r="F442" s="3">
        <v>45994</v>
      </c>
      <c r="G442">
        <v>202609</v>
      </c>
      <c r="H442" t="s">
        <v>75</v>
      </c>
      <c r="I442" t="s">
        <v>76</v>
      </c>
      <c r="J442" t="s">
        <v>77</v>
      </c>
      <c r="K442" t="s">
        <v>78</v>
      </c>
      <c r="L442" t="s">
        <v>156</v>
      </c>
      <c r="M442" t="s">
        <v>157</v>
      </c>
      <c r="N442" t="s">
        <v>261</v>
      </c>
      <c r="O442" t="s">
        <v>89</v>
      </c>
      <c r="P442" t="str">
        <f>"4170071692                    "</f>
        <v xml:space="preserve">4170071692                    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  <c r="Y442">
        <v>0</v>
      </c>
      <c r="Z442">
        <v>0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0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38.28</v>
      </c>
      <c r="AR442">
        <v>0</v>
      </c>
      <c r="AS442">
        <v>0</v>
      </c>
      <c r="AT442">
        <v>0</v>
      </c>
      <c r="AU442">
        <v>0</v>
      </c>
      <c r="AV442">
        <v>0</v>
      </c>
      <c r="AW442">
        <v>0</v>
      </c>
      <c r="AX442">
        <v>0</v>
      </c>
      <c r="AY442">
        <v>0</v>
      </c>
      <c r="AZ442">
        <v>0</v>
      </c>
      <c r="BA442">
        <v>0</v>
      </c>
      <c r="BB442">
        <v>0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1</v>
      </c>
      <c r="BI442">
        <v>3</v>
      </c>
      <c r="BJ442">
        <v>1.1000000000000001</v>
      </c>
      <c r="BK442">
        <v>3</v>
      </c>
      <c r="BL442">
        <v>114.08</v>
      </c>
      <c r="BM442">
        <v>17.11</v>
      </c>
      <c r="BN442">
        <v>131.19</v>
      </c>
      <c r="BO442">
        <v>131.19</v>
      </c>
      <c r="BQ442" t="s">
        <v>262</v>
      </c>
      <c r="BR442" t="s">
        <v>82</v>
      </c>
      <c r="BS442" s="3">
        <v>45995</v>
      </c>
      <c r="BT442" s="4">
        <v>0.40902777777777777</v>
      </c>
      <c r="BU442" t="s">
        <v>1130</v>
      </c>
      <c r="BV442" t="s">
        <v>84</v>
      </c>
      <c r="BY442">
        <v>5510</v>
      </c>
      <c r="BZ442" t="s">
        <v>271</v>
      </c>
      <c r="CA442" t="s">
        <v>264</v>
      </c>
      <c r="CC442" t="s">
        <v>157</v>
      </c>
      <c r="CD442">
        <v>7441</v>
      </c>
      <c r="CE442" t="s">
        <v>147</v>
      </c>
      <c r="CF442" s="3">
        <v>45996</v>
      </c>
      <c r="CI442">
        <v>1</v>
      </c>
      <c r="CJ442">
        <v>1</v>
      </c>
      <c r="CK442">
        <v>21</v>
      </c>
      <c r="CL442" t="s">
        <v>87</v>
      </c>
    </row>
    <row r="443" spans="1:90" x14ac:dyDescent="0.3">
      <c r="A443" t="s">
        <v>72</v>
      </c>
      <c r="B443" t="s">
        <v>73</v>
      </c>
      <c r="C443" t="s">
        <v>74</v>
      </c>
      <c r="E443" t="str">
        <f>"080069656056"</f>
        <v>080069656056</v>
      </c>
      <c r="F443" s="3">
        <v>45994</v>
      </c>
      <c r="G443">
        <v>202609</v>
      </c>
      <c r="H443" t="s">
        <v>75</v>
      </c>
      <c r="I443" t="s">
        <v>76</v>
      </c>
      <c r="J443" t="s">
        <v>77</v>
      </c>
      <c r="K443" t="s">
        <v>78</v>
      </c>
      <c r="L443" t="s">
        <v>94</v>
      </c>
      <c r="M443" t="s">
        <v>95</v>
      </c>
      <c r="N443" t="s">
        <v>230</v>
      </c>
      <c r="O443" t="s">
        <v>89</v>
      </c>
      <c r="P443" t="str">
        <f>"4170071666                    "</f>
        <v xml:space="preserve">4170071666                    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25.52</v>
      </c>
      <c r="AR443">
        <v>0</v>
      </c>
      <c r="AS443">
        <v>0</v>
      </c>
      <c r="AT443">
        <v>0</v>
      </c>
      <c r="AU443">
        <v>0</v>
      </c>
      <c r="AV443">
        <v>0</v>
      </c>
      <c r="AW443">
        <v>0</v>
      </c>
      <c r="AX443">
        <v>0</v>
      </c>
      <c r="AY443">
        <v>0</v>
      </c>
      <c r="AZ443">
        <v>0</v>
      </c>
      <c r="BA443">
        <v>0</v>
      </c>
      <c r="BB443">
        <v>0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1</v>
      </c>
      <c r="BI443">
        <v>1</v>
      </c>
      <c r="BJ443">
        <v>0.2</v>
      </c>
      <c r="BK443">
        <v>1</v>
      </c>
      <c r="BL443">
        <v>76.06</v>
      </c>
      <c r="BM443">
        <v>11.41</v>
      </c>
      <c r="BN443">
        <v>87.47</v>
      </c>
      <c r="BO443">
        <v>87.47</v>
      </c>
      <c r="BQ443" t="s">
        <v>231</v>
      </c>
      <c r="BR443" t="s">
        <v>82</v>
      </c>
      <c r="BS443" s="3">
        <v>45995</v>
      </c>
      <c r="BT443" s="4">
        <v>0.40833333333333333</v>
      </c>
      <c r="BU443" t="s">
        <v>1001</v>
      </c>
      <c r="BV443" t="s">
        <v>84</v>
      </c>
      <c r="BY443">
        <v>1200</v>
      </c>
      <c r="CA443" t="s">
        <v>99</v>
      </c>
      <c r="CC443" t="s">
        <v>95</v>
      </c>
      <c r="CD443">
        <v>3608</v>
      </c>
      <c r="CE443" t="s">
        <v>134</v>
      </c>
      <c r="CF443" s="3">
        <v>45995</v>
      </c>
      <c r="CI443">
        <v>1</v>
      </c>
      <c r="CJ443">
        <v>1</v>
      </c>
      <c r="CK443">
        <v>21</v>
      </c>
      <c r="CL443" t="s">
        <v>87</v>
      </c>
    </row>
    <row r="444" spans="1:90" x14ac:dyDescent="0.3">
      <c r="A444" t="s">
        <v>72</v>
      </c>
      <c r="B444" t="s">
        <v>73</v>
      </c>
      <c r="C444" t="s">
        <v>74</v>
      </c>
      <c r="E444" t="str">
        <f>"080069656070"</f>
        <v>080069656070</v>
      </c>
      <c r="F444" s="3">
        <v>45994</v>
      </c>
      <c r="G444">
        <v>202609</v>
      </c>
      <c r="H444" t="s">
        <v>75</v>
      </c>
      <c r="I444" t="s">
        <v>76</v>
      </c>
      <c r="J444" t="s">
        <v>77</v>
      </c>
      <c r="K444" t="s">
        <v>78</v>
      </c>
      <c r="L444" t="s">
        <v>272</v>
      </c>
      <c r="M444" t="s">
        <v>273</v>
      </c>
      <c r="N444" t="s">
        <v>940</v>
      </c>
      <c r="O444" t="s">
        <v>89</v>
      </c>
      <c r="P444" t="str">
        <f>"4170071709                    "</f>
        <v xml:space="preserve">4170071709                    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0</v>
      </c>
      <c r="AJ444">
        <v>0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25.52</v>
      </c>
      <c r="AR444">
        <v>0</v>
      </c>
      <c r="AS444">
        <v>0</v>
      </c>
      <c r="AT444">
        <v>0</v>
      </c>
      <c r="AU444">
        <v>0</v>
      </c>
      <c r="AV444">
        <v>0</v>
      </c>
      <c r="AW444">
        <v>0</v>
      </c>
      <c r="AX444">
        <v>0</v>
      </c>
      <c r="AY444">
        <v>0</v>
      </c>
      <c r="AZ444">
        <v>0</v>
      </c>
      <c r="BA444">
        <v>0</v>
      </c>
      <c r="BB444">
        <v>0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1</v>
      </c>
      <c r="BI444">
        <v>1</v>
      </c>
      <c r="BJ444">
        <v>1.1000000000000001</v>
      </c>
      <c r="BK444">
        <v>1.5</v>
      </c>
      <c r="BL444">
        <v>76.06</v>
      </c>
      <c r="BM444">
        <v>11.41</v>
      </c>
      <c r="BN444">
        <v>87.47</v>
      </c>
      <c r="BO444">
        <v>87.47</v>
      </c>
      <c r="BQ444" t="s">
        <v>941</v>
      </c>
      <c r="BR444" t="s">
        <v>82</v>
      </c>
      <c r="BS444" s="3">
        <v>45995</v>
      </c>
      <c r="BT444" s="4">
        <v>0.42708333333333331</v>
      </c>
      <c r="BU444" t="s">
        <v>942</v>
      </c>
      <c r="BV444" t="s">
        <v>84</v>
      </c>
      <c r="BY444">
        <v>5510</v>
      </c>
      <c r="CA444" t="s">
        <v>277</v>
      </c>
      <c r="CC444" t="s">
        <v>273</v>
      </c>
      <c r="CD444">
        <v>6220</v>
      </c>
      <c r="CE444" t="s">
        <v>86</v>
      </c>
      <c r="CF444" s="3">
        <v>45995</v>
      </c>
      <c r="CI444">
        <v>1</v>
      </c>
      <c r="CJ444">
        <v>1</v>
      </c>
      <c r="CK444">
        <v>21</v>
      </c>
      <c r="CL444" t="s">
        <v>87</v>
      </c>
    </row>
    <row r="445" spans="1:90" x14ac:dyDescent="0.3">
      <c r="A445" t="s">
        <v>72</v>
      </c>
      <c r="B445" t="s">
        <v>73</v>
      </c>
      <c r="C445" t="s">
        <v>74</v>
      </c>
      <c r="E445" t="str">
        <f>"080069656094"</f>
        <v>080069656094</v>
      </c>
      <c r="F445" s="3">
        <v>45994</v>
      </c>
      <c r="G445">
        <v>202609</v>
      </c>
      <c r="H445" t="s">
        <v>75</v>
      </c>
      <c r="I445" t="s">
        <v>76</v>
      </c>
      <c r="J445" t="s">
        <v>77</v>
      </c>
      <c r="K445" t="s">
        <v>78</v>
      </c>
      <c r="L445" t="s">
        <v>141</v>
      </c>
      <c r="M445" t="s">
        <v>142</v>
      </c>
      <c r="N445" t="s">
        <v>587</v>
      </c>
      <c r="O445" t="s">
        <v>89</v>
      </c>
      <c r="P445" t="str">
        <f>"4170071710                    "</f>
        <v xml:space="preserve">4170071710                    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0</v>
      </c>
      <c r="AH445">
        <v>0</v>
      </c>
      <c r="AI445">
        <v>0</v>
      </c>
      <c r="AJ445">
        <v>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25.52</v>
      </c>
      <c r="AR445">
        <v>0</v>
      </c>
      <c r="AS445">
        <v>0</v>
      </c>
      <c r="AT445">
        <v>0</v>
      </c>
      <c r="AU445">
        <v>0</v>
      </c>
      <c r="AV445">
        <v>0</v>
      </c>
      <c r="AW445">
        <v>0</v>
      </c>
      <c r="AX445">
        <v>0</v>
      </c>
      <c r="AY445">
        <v>0</v>
      </c>
      <c r="AZ445">
        <v>0</v>
      </c>
      <c r="BA445">
        <v>0</v>
      </c>
      <c r="BB445">
        <v>0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1</v>
      </c>
      <c r="BI445">
        <v>1</v>
      </c>
      <c r="BJ445">
        <v>0.2</v>
      </c>
      <c r="BK445">
        <v>1</v>
      </c>
      <c r="BL445">
        <v>76.06</v>
      </c>
      <c r="BM445">
        <v>11.41</v>
      </c>
      <c r="BN445">
        <v>87.47</v>
      </c>
      <c r="BO445">
        <v>87.47</v>
      </c>
      <c r="BQ445" t="s">
        <v>588</v>
      </c>
      <c r="BR445" t="s">
        <v>82</v>
      </c>
      <c r="BS445" s="3">
        <v>45995</v>
      </c>
      <c r="BT445" s="4">
        <v>0.41388888888888886</v>
      </c>
      <c r="BU445" t="s">
        <v>1036</v>
      </c>
      <c r="BV445" t="s">
        <v>84</v>
      </c>
      <c r="BY445">
        <v>1200</v>
      </c>
      <c r="CA445" t="s">
        <v>1037</v>
      </c>
      <c r="CC445" t="s">
        <v>142</v>
      </c>
      <c r="CD445">
        <v>6001</v>
      </c>
      <c r="CE445" t="s">
        <v>134</v>
      </c>
      <c r="CF445" s="3">
        <v>45995</v>
      </c>
      <c r="CI445">
        <v>1</v>
      </c>
      <c r="CJ445">
        <v>1</v>
      </c>
      <c r="CK445">
        <v>21</v>
      </c>
      <c r="CL445" t="s">
        <v>87</v>
      </c>
    </row>
    <row r="446" spans="1:90" x14ac:dyDescent="0.3">
      <c r="A446" t="s">
        <v>72</v>
      </c>
      <c r="B446" t="s">
        <v>73</v>
      </c>
      <c r="C446" t="s">
        <v>74</v>
      </c>
      <c r="E446" t="str">
        <f>"080069656129"</f>
        <v>080069656129</v>
      </c>
      <c r="F446" s="3">
        <v>45994</v>
      </c>
      <c r="G446">
        <v>202609</v>
      </c>
      <c r="H446" t="s">
        <v>75</v>
      </c>
      <c r="I446" t="s">
        <v>76</v>
      </c>
      <c r="J446" t="s">
        <v>77</v>
      </c>
      <c r="K446" t="s">
        <v>78</v>
      </c>
      <c r="L446" t="s">
        <v>141</v>
      </c>
      <c r="M446" t="s">
        <v>142</v>
      </c>
      <c r="N446" t="s">
        <v>798</v>
      </c>
      <c r="O446" t="s">
        <v>89</v>
      </c>
      <c r="P446" t="str">
        <f>"4170071633                    "</f>
        <v xml:space="preserve">4170071633                    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0</v>
      </c>
      <c r="W446">
        <v>0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0</v>
      </c>
      <c r="AH446">
        <v>0</v>
      </c>
      <c r="AI446">
        <v>0</v>
      </c>
      <c r="AJ446">
        <v>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89.3</v>
      </c>
      <c r="AR446">
        <v>0</v>
      </c>
      <c r="AS446">
        <v>0</v>
      </c>
      <c r="AT446">
        <v>0</v>
      </c>
      <c r="AU446">
        <v>0</v>
      </c>
      <c r="AV446">
        <v>0</v>
      </c>
      <c r="AW446">
        <v>0</v>
      </c>
      <c r="AX446">
        <v>0</v>
      </c>
      <c r="AY446">
        <v>0</v>
      </c>
      <c r="AZ446">
        <v>0</v>
      </c>
      <c r="BA446">
        <v>0</v>
      </c>
      <c r="BB446">
        <v>0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1</v>
      </c>
      <c r="BI446">
        <v>7</v>
      </c>
      <c r="BJ446">
        <v>3.4</v>
      </c>
      <c r="BK446">
        <v>7</v>
      </c>
      <c r="BL446">
        <v>266.14</v>
      </c>
      <c r="BM446">
        <v>39.92</v>
      </c>
      <c r="BN446">
        <v>306.06</v>
      </c>
      <c r="BO446">
        <v>306.06</v>
      </c>
      <c r="BQ446" t="s">
        <v>799</v>
      </c>
      <c r="BR446" t="s">
        <v>82</v>
      </c>
      <c r="BS446" s="3">
        <v>45995</v>
      </c>
      <c r="BT446" s="4">
        <v>0.39652777777777776</v>
      </c>
      <c r="BU446" t="s">
        <v>848</v>
      </c>
      <c r="BV446" t="s">
        <v>84</v>
      </c>
      <c r="BY446">
        <v>16965</v>
      </c>
      <c r="CA446" t="s">
        <v>277</v>
      </c>
      <c r="CC446" t="s">
        <v>142</v>
      </c>
      <c r="CD446">
        <v>6001</v>
      </c>
      <c r="CE446" t="s">
        <v>86</v>
      </c>
      <c r="CF446" s="3">
        <v>45995</v>
      </c>
      <c r="CI446">
        <v>1</v>
      </c>
      <c r="CJ446">
        <v>1</v>
      </c>
      <c r="CK446">
        <v>21</v>
      </c>
      <c r="CL446" t="s">
        <v>87</v>
      </c>
    </row>
    <row r="447" spans="1:90" x14ac:dyDescent="0.3">
      <c r="A447" t="s">
        <v>72</v>
      </c>
      <c r="B447" t="s">
        <v>73</v>
      </c>
      <c r="C447" t="s">
        <v>74</v>
      </c>
      <c r="E447" t="str">
        <f>"080069656142"</f>
        <v>080069656142</v>
      </c>
      <c r="F447" s="3">
        <v>45994</v>
      </c>
      <c r="G447">
        <v>202609</v>
      </c>
      <c r="H447" t="s">
        <v>75</v>
      </c>
      <c r="I447" t="s">
        <v>76</v>
      </c>
      <c r="J447" t="s">
        <v>77</v>
      </c>
      <c r="K447" t="s">
        <v>78</v>
      </c>
      <c r="L447" t="s">
        <v>100</v>
      </c>
      <c r="M447" t="s">
        <v>101</v>
      </c>
      <c r="N447" t="s">
        <v>102</v>
      </c>
      <c r="O447" t="s">
        <v>89</v>
      </c>
      <c r="P447" t="str">
        <f>"4170071800                    "</f>
        <v xml:space="preserve">4170071800                    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0</v>
      </c>
      <c r="AJ447">
        <v>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25.52</v>
      </c>
      <c r="AR447">
        <v>0</v>
      </c>
      <c r="AS447">
        <v>0</v>
      </c>
      <c r="AT447">
        <v>0</v>
      </c>
      <c r="AU447">
        <v>0</v>
      </c>
      <c r="AV447">
        <v>0</v>
      </c>
      <c r="AW447">
        <v>0</v>
      </c>
      <c r="AX447">
        <v>0</v>
      </c>
      <c r="AY447">
        <v>0</v>
      </c>
      <c r="AZ447">
        <v>0</v>
      </c>
      <c r="BA447">
        <v>0</v>
      </c>
      <c r="BB447">
        <v>0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1</v>
      </c>
      <c r="BI447">
        <v>1</v>
      </c>
      <c r="BJ447">
        <v>0.2</v>
      </c>
      <c r="BK447">
        <v>1</v>
      </c>
      <c r="BL447">
        <v>76.06</v>
      </c>
      <c r="BM447">
        <v>11.41</v>
      </c>
      <c r="BN447">
        <v>87.47</v>
      </c>
      <c r="BO447">
        <v>87.47</v>
      </c>
      <c r="BQ447" t="s">
        <v>103</v>
      </c>
      <c r="BR447" t="s">
        <v>82</v>
      </c>
      <c r="BS447" s="3">
        <v>45995</v>
      </c>
      <c r="BT447" s="4">
        <v>0.36458333333333331</v>
      </c>
      <c r="BU447" t="s">
        <v>398</v>
      </c>
      <c r="BV447" t="s">
        <v>84</v>
      </c>
      <c r="BY447">
        <v>1200</v>
      </c>
      <c r="BZ447" t="s">
        <v>271</v>
      </c>
      <c r="CA447" t="s">
        <v>107</v>
      </c>
      <c r="CC447" t="s">
        <v>101</v>
      </c>
      <c r="CD447">
        <v>4000</v>
      </c>
      <c r="CE447" t="s">
        <v>127</v>
      </c>
      <c r="CF447" s="3">
        <v>45995</v>
      </c>
      <c r="CI447">
        <v>1</v>
      </c>
      <c r="CJ447">
        <v>1</v>
      </c>
      <c r="CK447">
        <v>21</v>
      </c>
      <c r="CL447" t="s">
        <v>87</v>
      </c>
    </row>
    <row r="448" spans="1:90" x14ac:dyDescent="0.3">
      <c r="A448" t="s">
        <v>72</v>
      </c>
      <c r="B448" t="s">
        <v>73</v>
      </c>
      <c r="C448" t="s">
        <v>74</v>
      </c>
      <c r="E448" t="str">
        <f>"080069656197"</f>
        <v>080069656197</v>
      </c>
      <c r="F448" s="3">
        <v>45994</v>
      </c>
      <c r="G448">
        <v>202609</v>
      </c>
      <c r="H448" t="s">
        <v>75</v>
      </c>
      <c r="I448" t="s">
        <v>76</v>
      </c>
      <c r="J448" t="s">
        <v>77</v>
      </c>
      <c r="K448" t="s">
        <v>78</v>
      </c>
      <c r="L448" t="s">
        <v>156</v>
      </c>
      <c r="M448" t="s">
        <v>157</v>
      </c>
      <c r="N448" t="s">
        <v>921</v>
      </c>
      <c r="O448" t="s">
        <v>89</v>
      </c>
      <c r="P448" t="str">
        <f>"4170071683                    "</f>
        <v xml:space="preserve">4170071683                    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  <c r="AJ448">
        <v>0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25.52</v>
      </c>
      <c r="AR448">
        <v>0</v>
      </c>
      <c r="AS448">
        <v>0</v>
      </c>
      <c r="AT448">
        <v>0</v>
      </c>
      <c r="AU448">
        <v>0</v>
      </c>
      <c r="AV448">
        <v>0</v>
      </c>
      <c r="AW448">
        <v>0</v>
      </c>
      <c r="AX448">
        <v>0</v>
      </c>
      <c r="AY448">
        <v>0</v>
      </c>
      <c r="AZ448">
        <v>0</v>
      </c>
      <c r="BA448">
        <v>0</v>
      </c>
      <c r="BB448">
        <v>0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1</v>
      </c>
      <c r="BI448">
        <v>1</v>
      </c>
      <c r="BJ448">
        <v>1.1000000000000001</v>
      </c>
      <c r="BK448">
        <v>1.5</v>
      </c>
      <c r="BL448">
        <v>76.06</v>
      </c>
      <c r="BM448">
        <v>11.41</v>
      </c>
      <c r="BN448">
        <v>87.47</v>
      </c>
      <c r="BO448">
        <v>87.47</v>
      </c>
      <c r="BQ448" t="s">
        <v>922</v>
      </c>
      <c r="BR448" t="s">
        <v>82</v>
      </c>
      <c r="BS448" s="3">
        <v>45995</v>
      </c>
      <c r="BT448" s="4">
        <v>0.37847222222222221</v>
      </c>
      <c r="BU448" t="s">
        <v>984</v>
      </c>
      <c r="BV448" t="s">
        <v>84</v>
      </c>
      <c r="BY448">
        <v>5510</v>
      </c>
      <c r="BZ448" t="s">
        <v>271</v>
      </c>
      <c r="CA448" t="s">
        <v>264</v>
      </c>
      <c r="CC448" t="s">
        <v>157</v>
      </c>
      <c r="CD448">
        <v>7441</v>
      </c>
      <c r="CE448" t="s">
        <v>147</v>
      </c>
      <c r="CF448" s="3">
        <v>45996</v>
      </c>
      <c r="CI448">
        <v>1</v>
      </c>
      <c r="CJ448">
        <v>1</v>
      </c>
      <c r="CK448">
        <v>21</v>
      </c>
      <c r="CL448" t="s">
        <v>87</v>
      </c>
    </row>
    <row r="449" spans="1:90" x14ac:dyDescent="0.3">
      <c r="A449" t="s">
        <v>72</v>
      </c>
      <c r="B449" t="s">
        <v>73</v>
      </c>
      <c r="C449" t="s">
        <v>74</v>
      </c>
      <c r="E449" t="str">
        <f>"080069656202"</f>
        <v>080069656202</v>
      </c>
      <c r="F449" s="3">
        <v>45994</v>
      </c>
      <c r="G449">
        <v>202609</v>
      </c>
      <c r="H449" t="s">
        <v>75</v>
      </c>
      <c r="I449" t="s">
        <v>76</v>
      </c>
      <c r="J449" t="s">
        <v>77</v>
      </c>
      <c r="K449" t="s">
        <v>78</v>
      </c>
      <c r="L449" t="s">
        <v>535</v>
      </c>
      <c r="M449" t="s">
        <v>535</v>
      </c>
      <c r="N449" t="s">
        <v>1112</v>
      </c>
      <c r="O449" t="s">
        <v>89</v>
      </c>
      <c r="P449" t="str">
        <f>"4170071714                    "</f>
        <v xml:space="preserve">4170071714                    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0</v>
      </c>
      <c r="X449">
        <v>0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0</v>
      </c>
      <c r="AJ449">
        <v>0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49.45</v>
      </c>
      <c r="AR449">
        <v>0</v>
      </c>
      <c r="AS449">
        <v>0</v>
      </c>
      <c r="AT449">
        <v>0</v>
      </c>
      <c r="AU449">
        <v>0</v>
      </c>
      <c r="AV449">
        <v>0</v>
      </c>
      <c r="AW449">
        <v>0</v>
      </c>
      <c r="AX449">
        <v>0</v>
      </c>
      <c r="AY449">
        <v>0</v>
      </c>
      <c r="AZ449">
        <v>0</v>
      </c>
      <c r="BA449">
        <v>0</v>
      </c>
      <c r="BB449">
        <v>0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1</v>
      </c>
      <c r="BI449">
        <v>1</v>
      </c>
      <c r="BJ449">
        <v>0.2</v>
      </c>
      <c r="BK449">
        <v>1</v>
      </c>
      <c r="BL449">
        <v>147.38</v>
      </c>
      <c r="BM449">
        <v>22.11</v>
      </c>
      <c r="BN449">
        <v>169.49</v>
      </c>
      <c r="BO449">
        <v>169.49</v>
      </c>
      <c r="BQ449" t="s">
        <v>1113</v>
      </c>
      <c r="BR449" t="s">
        <v>82</v>
      </c>
      <c r="BS449" s="3">
        <v>45995</v>
      </c>
      <c r="BT449" s="4">
        <v>0.79722222222222228</v>
      </c>
      <c r="BU449" t="s">
        <v>984</v>
      </c>
      <c r="BV449" t="s">
        <v>87</v>
      </c>
      <c r="BY449">
        <v>1200</v>
      </c>
      <c r="CA449" t="s">
        <v>539</v>
      </c>
      <c r="CC449" t="s">
        <v>535</v>
      </c>
      <c r="CD449">
        <v>7646</v>
      </c>
      <c r="CE449" t="s">
        <v>134</v>
      </c>
      <c r="CF449" s="3">
        <v>45996</v>
      </c>
      <c r="CI449">
        <v>1</v>
      </c>
      <c r="CJ449">
        <v>1</v>
      </c>
      <c r="CK449">
        <v>23</v>
      </c>
      <c r="CL449" t="s">
        <v>87</v>
      </c>
    </row>
    <row r="450" spans="1:90" x14ac:dyDescent="0.3">
      <c r="A450" t="s">
        <v>72</v>
      </c>
      <c r="B450" t="s">
        <v>73</v>
      </c>
      <c r="C450" t="s">
        <v>74</v>
      </c>
      <c r="E450" t="str">
        <f>"080069656247"</f>
        <v>080069656247</v>
      </c>
      <c r="F450" s="3">
        <v>45994</v>
      </c>
      <c r="G450">
        <v>202609</v>
      </c>
      <c r="H450" t="s">
        <v>75</v>
      </c>
      <c r="I450" t="s">
        <v>76</v>
      </c>
      <c r="J450" t="s">
        <v>77</v>
      </c>
      <c r="K450" t="s">
        <v>78</v>
      </c>
      <c r="L450" t="s">
        <v>548</v>
      </c>
      <c r="M450" t="s">
        <v>549</v>
      </c>
      <c r="N450" t="s">
        <v>572</v>
      </c>
      <c r="O450" t="s">
        <v>89</v>
      </c>
      <c r="P450" t="str">
        <f>"4170071732                    "</f>
        <v xml:space="preserve">4170071732                    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0</v>
      </c>
      <c r="AJ450">
        <v>0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49.45</v>
      </c>
      <c r="AR450">
        <v>0</v>
      </c>
      <c r="AS450">
        <v>0</v>
      </c>
      <c r="AT450">
        <v>0</v>
      </c>
      <c r="AU450">
        <v>0</v>
      </c>
      <c r="AV450">
        <v>0</v>
      </c>
      <c r="AW450">
        <v>0</v>
      </c>
      <c r="AX450">
        <v>0</v>
      </c>
      <c r="AY450">
        <v>0</v>
      </c>
      <c r="AZ450">
        <v>0</v>
      </c>
      <c r="BA450">
        <v>0</v>
      </c>
      <c r="BB450">
        <v>0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1</v>
      </c>
      <c r="BI450">
        <v>1</v>
      </c>
      <c r="BJ450">
        <v>0.2</v>
      </c>
      <c r="BK450">
        <v>1</v>
      </c>
      <c r="BL450">
        <v>147.38</v>
      </c>
      <c r="BM450">
        <v>22.11</v>
      </c>
      <c r="BN450">
        <v>169.49</v>
      </c>
      <c r="BO450">
        <v>169.49</v>
      </c>
      <c r="BQ450" t="s">
        <v>573</v>
      </c>
      <c r="BR450" t="s">
        <v>82</v>
      </c>
      <c r="BS450" s="3">
        <v>45995</v>
      </c>
      <c r="BT450" s="4">
        <v>0.42638888888888887</v>
      </c>
      <c r="BU450" t="s">
        <v>1145</v>
      </c>
      <c r="BV450" t="s">
        <v>84</v>
      </c>
      <c r="BY450">
        <v>1200</v>
      </c>
      <c r="CA450">
        <v>9703035538081</v>
      </c>
      <c r="CC450" t="s">
        <v>549</v>
      </c>
      <c r="CD450">
        <v>2302</v>
      </c>
      <c r="CE450" t="s">
        <v>134</v>
      </c>
      <c r="CF450" s="3">
        <v>45996</v>
      </c>
      <c r="CI450">
        <v>1</v>
      </c>
      <c r="CJ450">
        <v>1</v>
      </c>
      <c r="CK450">
        <v>23</v>
      </c>
      <c r="CL450" t="s">
        <v>87</v>
      </c>
    </row>
    <row r="451" spans="1:90" x14ac:dyDescent="0.3">
      <c r="A451" t="s">
        <v>72</v>
      </c>
      <c r="B451" t="s">
        <v>73</v>
      </c>
      <c r="C451" t="s">
        <v>74</v>
      </c>
      <c r="E451" t="str">
        <f>"080069656272"</f>
        <v>080069656272</v>
      </c>
      <c r="F451" s="3">
        <v>45994</v>
      </c>
      <c r="G451">
        <v>202609</v>
      </c>
      <c r="H451" t="s">
        <v>75</v>
      </c>
      <c r="I451" t="s">
        <v>76</v>
      </c>
      <c r="J451" t="s">
        <v>77</v>
      </c>
      <c r="K451" t="s">
        <v>78</v>
      </c>
      <c r="L451" t="s">
        <v>148</v>
      </c>
      <c r="M451" t="s">
        <v>149</v>
      </c>
      <c r="N451" t="s">
        <v>150</v>
      </c>
      <c r="O451" t="s">
        <v>89</v>
      </c>
      <c r="P451" t="str">
        <f>"4170071661                    "</f>
        <v xml:space="preserve">4170071661                    </v>
      </c>
      <c r="Q451">
        <v>0</v>
      </c>
      <c r="R451">
        <v>0</v>
      </c>
      <c r="S451">
        <v>0</v>
      </c>
      <c r="T451">
        <v>0</v>
      </c>
      <c r="U451">
        <v>0</v>
      </c>
      <c r="V451">
        <v>0</v>
      </c>
      <c r="W451">
        <v>0</v>
      </c>
      <c r="X451">
        <v>0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0</v>
      </c>
      <c r="AG451">
        <v>0</v>
      </c>
      <c r="AH451">
        <v>0</v>
      </c>
      <c r="AI451">
        <v>0</v>
      </c>
      <c r="AJ451">
        <v>0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71.790000000000006</v>
      </c>
      <c r="AR451">
        <v>0</v>
      </c>
      <c r="AS451">
        <v>0</v>
      </c>
      <c r="AT451">
        <v>0</v>
      </c>
      <c r="AU451">
        <v>0</v>
      </c>
      <c r="AV451">
        <v>0</v>
      </c>
      <c r="AW451">
        <v>0</v>
      </c>
      <c r="AX451">
        <v>0</v>
      </c>
      <c r="AY451">
        <v>0</v>
      </c>
      <c r="AZ451">
        <v>0</v>
      </c>
      <c r="BA451">
        <v>0</v>
      </c>
      <c r="BB451">
        <v>0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1</v>
      </c>
      <c r="BI451">
        <v>3</v>
      </c>
      <c r="BJ451">
        <v>1.4</v>
      </c>
      <c r="BK451">
        <v>3</v>
      </c>
      <c r="BL451">
        <v>213.94</v>
      </c>
      <c r="BM451">
        <v>32.090000000000003</v>
      </c>
      <c r="BN451">
        <v>246.03</v>
      </c>
      <c r="BO451">
        <v>246.03</v>
      </c>
      <c r="BQ451" t="s">
        <v>151</v>
      </c>
      <c r="BR451" t="s">
        <v>82</v>
      </c>
      <c r="BS451" s="3">
        <v>45995</v>
      </c>
      <c r="BT451" s="4">
        <v>0.59861111111111109</v>
      </c>
      <c r="BU451" t="s">
        <v>152</v>
      </c>
      <c r="BV451" t="s">
        <v>84</v>
      </c>
      <c r="BY451">
        <v>7000</v>
      </c>
      <c r="CA451" t="s">
        <v>155</v>
      </c>
      <c r="CC451" t="s">
        <v>149</v>
      </c>
      <c r="CD451">
        <v>7300</v>
      </c>
      <c r="CE451" t="s">
        <v>86</v>
      </c>
      <c r="CF451" s="3">
        <v>45997</v>
      </c>
      <c r="CI451">
        <v>1</v>
      </c>
      <c r="CJ451">
        <v>1</v>
      </c>
      <c r="CK451">
        <v>23</v>
      </c>
      <c r="CL451" t="s">
        <v>87</v>
      </c>
    </row>
    <row r="452" spans="1:90" x14ac:dyDescent="0.3">
      <c r="A452" t="s">
        <v>72</v>
      </c>
      <c r="B452" t="s">
        <v>73</v>
      </c>
      <c r="C452" t="s">
        <v>74</v>
      </c>
      <c r="E452" t="str">
        <f>"080069656315"</f>
        <v>080069656315</v>
      </c>
      <c r="F452" s="3">
        <v>45994</v>
      </c>
      <c r="G452">
        <v>202609</v>
      </c>
      <c r="H452" t="s">
        <v>75</v>
      </c>
      <c r="I452" t="s">
        <v>76</v>
      </c>
      <c r="J452" t="s">
        <v>77</v>
      </c>
      <c r="K452" t="s">
        <v>78</v>
      </c>
      <c r="L452" t="s">
        <v>265</v>
      </c>
      <c r="M452" t="s">
        <v>266</v>
      </c>
      <c r="N452" t="s">
        <v>1146</v>
      </c>
      <c r="O452" t="s">
        <v>89</v>
      </c>
      <c r="P452" t="str">
        <f>"4170071676                    "</f>
        <v xml:space="preserve">4170071676                    </v>
      </c>
      <c r="Q452">
        <v>0</v>
      </c>
      <c r="R452">
        <v>0</v>
      </c>
      <c r="S452">
        <v>0</v>
      </c>
      <c r="T452">
        <v>0</v>
      </c>
      <c r="U452">
        <v>0</v>
      </c>
      <c r="V452">
        <v>0</v>
      </c>
      <c r="W452">
        <v>0</v>
      </c>
      <c r="X452">
        <v>0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G452">
        <v>0</v>
      </c>
      <c r="AH452">
        <v>0</v>
      </c>
      <c r="AI452">
        <v>0</v>
      </c>
      <c r="AJ452">
        <v>0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19.940000000000001</v>
      </c>
      <c r="AR452">
        <v>0</v>
      </c>
      <c r="AS452">
        <v>0</v>
      </c>
      <c r="AT452">
        <v>0</v>
      </c>
      <c r="AU452">
        <v>0</v>
      </c>
      <c r="AV452">
        <v>0</v>
      </c>
      <c r="AW452">
        <v>0</v>
      </c>
      <c r="AX452">
        <v>0</v>
      </c>
      <c r="AY452">
        <v>0</v>
      </c>
      <c r="AZ452">
        <v>0</v>
      </c>
      <c r="BA452">
        <v>0</v>
      </c>
      <c r="BB452">
        <v>0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1</v>
      </c>
      <c r="BI452">
        <v>1</v>
      </c>
      <c r="BJ452">
        <v>0.2</v>
      </c>
      <c r="BK452">
        <v>1</v>
      </c>
      <c r="BL452">
        <v>59.42</v>
      </c>
      <c r="BM452">
        <v>8.91</v>
      </c>
      <c r="BN452">
        <v>68.33</v>
      </c>
      <c r="BO452">
        <v>68.33</v>
      </c>
      <c r="BQ452" t="s">
        <v>1147</v>
      </c>
      <c r="BR452" t="s">
        <v>82</v>
      </c>
      <c r="BS452" s="3">
        <v>45995</v>
      </c>
      <c r="BT452" s="4">
        <v>0.41736111111111113</v>
      </c>
      <c r="BU452" t="s">
        <v>1148</v>
      </c>
      <c r="BV452" t="s">
        <v>84</v>
      </c>
      <c r="BY452">
        <v>1200</v>
      </c>
      <c r="CA452" t="s">
        <v>417</v>
      </c>
      <c r="CC452" t="s">
        <v>266</v>
      </c>
      <c r="CD452">
        <v>1460</v>
      </c>
      <c r="CE452" t="s">
        <v>134</v>
      </c>
      <c r="CF452" s="3">
        <v>45996</v>
      </c>
      <c r="CI452">
        <v>1</v>
      </c>
      <c r="CJ452">
        <v>1</v>
      </c>
      <c r="CK452">
        <v>22</v>
      </c>
      <c r="CL452" t="s">
        <v>87</v>
      </c>
    </row>
    <row r="453" spans="1:90" x14ac:dyDescent="0.3">
      <c r="A453" t="s">
        <v>72</v>
      </c>
      <c r="B453" t="s">
        <v>73</v>
      </c>
      <c r="C453" t="s">
        <v>74</v>
      </c>
      <c r="E453" t="str">
        <f>"080069656341"</f>
        <v>080069656341</v>
      </c>
      <c r="F453" s="3">
        <v>45994</v>
      </c>
      <c r="G453">
        <v>202609</v>
      </c>
      <c r="H453" t="s">
        <v>75</v>
      </c>
      <c r="I453" t="s">
        <v>76</v>
      </c>
      <c r="J453" t="s">
        <v>77</v>
      </c>
      <c r="K453" t="s">
        <v>78</v>
      </c>
      <c r="L453" t="s">
        <v>502</v>
      </c>
      <c r="M453" t="s">
        <v>503</v>
      </c>
      <c r="N453" t="s">
        <v>1149</v>
      </c>
      <c r="O453" t="s">
        <v>340</v>
      </c>
      <c r="P453" t="str">
        <f>"4170071107                    "</f>
        <v xml:space="preserve">4170071107                    </v>
      </c>
      <c r="Q453">
        <v>0</v>
      </c>
      <c r="R453">
        <v>0</v>
      </c>
      <c r="S453">
        <v>0</v>
      </c>
      <c r="T453">
        <v>0</v>
      </c>
      <c r="U453">
        <v>0</v>
      </c>
      <c r="V453">
        <v>0</v>
      </c>
      <c r="W453">
        <v>0</v>
      </c>
      <c r="X453">
        <v>0</v>
      </c>
      <c r="Y453">
        <v>0</v>
      </c>
      <c r="Z453">
        <v>0</v>
      </c>
      <c r="AA453">
        <v>0</v>
      </c>
      <c r="AB453">
        <v>0</v>
      </c>
      <c r="AC453">
        <v>0</v>
      </c>
      <c r="AD453">
        <v>0</v>
      </c>
      <c r="AE453">
        <v>0</v>
      </c>
      <c r="AF453">
        <v>0</v>
      </c>
      <c r="AG453">
        <v>0</v>
      </c>
      <c r="AH453">
        <v>0</v>
      </c>
      <c r="AI453">
        <v>0</v>
      </c>
      <c r="AJ453">
        <v>0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19.940000000000001</v>
      </c>
      <c r="AR453">
        <v>0</v>
      </c>
      <c r="AS453">
        <v>0</v>
      </c>
      <c r="AT453">
        <v>0</v>
      </c>
      <c r="AU453">
        <v>0</v>
      </c>
      <c r="AV453">
        <v>0</v>
      </c>
      <c r="AW453">
        <v>0</v>
      </c>
      <c r="AX453">
        <v>0</v>
      </c>
      <c r="AY453">
        <v>0</v>
      </c>
      <c r="AZ453">
        <v>0</v>
      </c>
      <c r="BA453">
        <v>0</v>
      </c>
      <c r="BB453">
        <v>0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1</v>
      </c>
      <c r="BI453">
        <v>4</v>
      </c>
      <c r="BJ453">
        <v>2</v>
      </c>
      <c r="BK453">
        <v>4</v>
      </c>
      <c r="BL453">
        <v>59.43</v>
      </c>
      <c r="BM453">
        <v>8.91</v>
      </c>
      <c r="BN453">
        <v>68.34</v>
      </c>
      <c r="BO453">
        <v>68.34</v>
      </c>
      <c r="BQ453" t="s">
        <v>1150</v>
      </c>
      <c r="BR453" t="s">
        <v>82</v>
      </c>
      <c r="BS453" s="3">
        <v>45995</v>
      </c>
      <c r="BT453" s="4">
        <v>0.38958333333333334</v>
      </c>
      <c r="BU453" t="s">
        <v>1151</v>
      </c>
      <c r="BV453" t="s">
        <v>84</v>
      </c>
      <c r="BY453">
        <v>9918</v>
      </c>
      <c r="BZ453" t="s">
        <v>731</v>
      </c>
      <c r="CA453" t="s">
        <v>507</v>
      </c>
      <c r="CC453" t="s">
        <v>503</v>
      </c>
      <c r="CD453">
        <v>1559</v>
      </c>
      <c r="CE453" t="s">
        <v>147</v>
      </c>
      <c r="CF453" s="3">
        <v>45995</v>
      </c>
      <c r="CI453">
        <v>1</v>
      </c>
      <c r="CJ453">
        <v>1</v>
      </c>
      <c r="CK453">
        <v>32</v>
      </c>
      <c r="CL453" t="s">
        <v>87</v>
      </c>
    </row>
    <row r="454" spans="1:90" x14ac:dyDescent="0.3">
      <c r="A454" t="s">
        <v>72</v>
      </c>
      <c r="B454" t="s">
        <v>73</v>
      </c>
      <c r="C454" t="s">
        <v>74</v>
      </c>
      <c r="E454" t="str">
        <f>"080069656439"</f>
        <v>080069656439</v>
      </c>
      <c r="F454" s="3">
        <v>45994</v>
      </c>
      <c r="G454">
        <v>202609</v>
      </c>
      <c r="H454" t="s">
        <v>75</v>
      </c>
      <c r="I454" t="s">
        <v>76</v>
      </c>
      <c r="J454" t="s">
        <v>77</v>
      </c>
      <c r="K454" t="s">
        <v>78</v>
      </c>
      <c r="L454" t="s">
        <v>141</v>
      </c>
      <c r="M454" t="s">
        <v>142</v>
      </c>
      <c r="N454" t="s">
        <v>675</v>
      </c>
      <c r="O454" t="s">
        <v>89</v>
      </c>
      <c r="P454" t="str">
        <f>"4170071748                    "</f>
        <v xml:space="preserve">4170071748                    </v>
      </c>
      <c r="Q454">
        <v>0</v>
      </c>
      <c r="R454">
        <v>0</v>
      </c>
      <c r="S454">
        <v>0</v>
      </c>
      <c r="T454">
        <v>0</v>
      </c>
      <c r="U454">
        <v>0</v>
      </c>
      <c r="V454">
        <v>0</v>
      </c>
      <c r="W454">
        <v>0</v>
      </c>
      <c r="X454">
        <v>0</v>
      </c>
      <c r="Y454">
        <v>0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0</v>
      </c>
      <c r="AH454">
        <v>0</v>
      </c>
      <c r="AI454">
        <v>0</v>
      </c>
      <c r="AJ454">
        <v>0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25.52</v>
      </c>
      <c r="AR454">
        <v>0</v>
      </c>
      <c r="AS454">
        <v>0</v>
      </c>
      <c r="AT454">
        <v>0</v>
      </c>
      <c r="AU454">
        <v>0</v>
      </c>
      <c r="AV454">
        <v>0</v>
      </c>
      <c r="AW454">
        <v>0</v>
      </c>
      <c r="AX454">
        <v>0</v>
      </c>
      <c r="AY454">
        <v>0</v>
      </c>
      <c r="AZ454">
        <v>0</v>
      </c>
      <c r="BA454">
        <v>0</v>
      </c>
      <c r="BB454">
        <v>0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1</v>
      </c>
      <c r="BI454">
        <v>1</v>
      </c>
      <c r="BJ454">
        <v>0.2</v>
      </c>
      <c r="BK454">
        <v>1</v>
      </c>
      <c r="BL454">
        <v>76.06</v>
      </c>
      <c r="BM454">
        <v>11.41</v>
      </c>
      <c r="BN454">
        <v>87.47</v>
      </c>
      <c r="BO454">
        <v>87.47</v>
      </c>
      <c r="BQ454" t="s">
        <v>676</v>
      </c>
      <c r="BR454" t="s">
        <v>82</v>
      </c>
      <c r="BS454" s="3">
        <v>45995</v>
      </c>
      <c r="BT454" s="4">
        <v>0.42916666666666664</v>
      </c>
      <c r="BU454" t="s">
        <v>993</v>
      </c>
      <c r="BV454" t="s">
        <v>84</v>
      </c>
      <c r="BY454">
        <v>1200</v>
      </c>
      <c r="BZ454" t="s">
        <v>271</v>
      </c>
      <c r="CA454" t="s">
        <v>146</v>
      </c>
      <c r="CC454" t="s">
        <v>142</v>
      </c>
      <c r="CD454">
        <v>6001</v>
      </c>
      <c r="CE454" t="s">
        <v>127</v>
      </c>
      <c r="CF454" s="3">
        <v>45995</v>
      </c>
      <c r="CI454">
        <v>1</v>
      </c>
      <c r="CJ454">
        <v>1</v>
      </c>
      <c r="CK454">
        <v>21</v>
      </c>
      <c r="CL454" t="s">
        <v>87</v>
      </c>
    </row>
    <row r="455" spans="1:90" x14ac:dyDescent="0.3">
      <c r="A455" t="s">
        <v>72</v>
      </c>
      <c r="B455" t="s">
        <v>73</v>
      </c>
      <c r="C455" t="s">
        <v>74</v>
      </c>
      <c r="E455" t="str">
        <f>"080069656456"</f>
        <v>080069656456</v>
      </c>
      <c r="F455" s="3">
        <v>45994</v>
      </c>
      <c r="G455">
        <v>202609</v>
      </c>
      <c r="H455" t="s">
        <v>75</v>
      </c>
      <c r="I455" t="s">
        <v>76</v>
      </c>
      <c r="J455" t="s">
        <v>77</v>
      </c>
      <c r="K455" t="s">
        <v>78</v>
      </c>
      <c r="L455" t="s">
        <v>141</v>
      </c>
      <c r="M455" t="s">
        <v>142</v>
      </c>
      <c r="N455" t="s">
        <v>798</v>
      </c>
      <c r="O455" t="s">
        <v>80</v>
      </c>
      <c r="P455" t="str">
        <f>"4170071663                    "</f>
        <v xml:space="preserve">4170071663                    </v>
      </c>
      <c r="Q455">
        <v>0</v>
      </c>
      <c r="R455">
        <v>0</v>
      </c>
      <c r="S455">
        <v>0</v>
      </c>
      <c r="T455">
        <v>0</v>
      </c>
      <c r="U455">
        <v>0</v>
      </c>
      <c r="V455">
        <v>0</v>
      </c>
      <c r="W455">
        <v>0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0</v>
      </c>
      <c r="AJ455">
        <v>0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133.01</v>
      </c>
      <c r="AR455">
        <v>0</v>
      </c>
      <c r="AS455">
        <v>0</v>
      </c>
      <c r="AT455">
        <v>0</v>
      </c>
      <c r="AU455">
        <v>0</v>
      </c>
      <c r="AV455">
        <v>0</v>
      </c>
      <c r="AW455">
        <v>0</v>
      </c>
      <c r="AX455">
        <v>0</v>
      </c>
      <c r="AY455">
        <v>0</v>
      </c>
      <c r="AZ455">
        <v>0</v>
      </c>
      <c r="BA455">
        <v>0</v>
      </c>
      <c r="BB455">
        <v>0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2</v>
      </c>
      <c r="BI455">
        <v>56</v>
      </c>
      <c r="BJ455">
        <v>24.9</v>
      </c>
      <c r="BK455">
        <v>56</v>
      </c>
      <c r="BL455">
        <v>402.49</v>
      </c>
      <c r="BM455">
        <v>60.37</v>
      </c>
      <c r="BN455">
        <v>462.86</v>
      </c>
      <c r="BO455">
        <v>462.86</v>
      </c>
      <c r="BQ455" t="s">
        <v>799</v>
      </c>
      <c r="BR455" t="s">
        <v>82</v>
      </c>
      <c r="BS455" s="3">
        <v>45999</v>
      </c>
      <c r="BT455" s="4">
        <v>0.39652777777777776</v>
      </c>
      <c r="BU455" t="s">
        <v>1152</v>
      </c>
      <c r="BV455" t="s">
        <v>84</v>
      </c>
      <c r="BY455">
        <v>62208</v>
      </c>
      <c r="CA455" t="s">
        <v>277</v>
      </c>
      <c r="CC455" t="s">
        <v>142</v>
      </c>
      <c r="CD455">
        <v>6001</v>
      </c>
      <c r="CE455" t="s">
        <v>894</v>
      </c>
      <c r="CF455" s="3">
        <v>45999</v>
      </c>
      <c r="CI455">
        <v>3</v>
      </c>
      <c r="CJ455">
        <v>3</v>
      </c>
      <c r="CK455">
        <v>41</v>
      </c>
      <c r="CL455" t="s">
        <v>87</v>
      </c>
    </row>
    <row r="456" spans="1:90" x14ac:dyDescent="0.3">
      <c r="A456" t="s">
        <v>72</v>
      </c>
      <c r="B456" t="s">
        <v>73</v>
      </c>
      <c r="C456" t="s">
        <v>74</v>
      </c>
      <c r="E456" t="str">
        <f>"080069656474"</f>
        <v>080069656474</v>
      </c>
      <c r="F456" s="3">
        <v>45994</v>
      </c>
      <c r="G456">
        <v>202609</v>
      </c>
      <c r="H456" t="s">
        <v>75</v>
      </c>
      <c r="I456" t="s">
        <v>76</v>
      </c>
      <c r="J456" t="s">
        <v>77</v>
      </c>
      <c r="K456" t="s">
        <v>78</v>
      </c>
      <c r="L456" t="s">
        <v>156</v>
      </c>
      <c r="M456" t="s">
        <v>157</v>
      </c>
      <c r="N456" t="s">
        <v>261</v>
      </c>
      <c r="O456" t="s">
        <v>89</v>
      </c>
      <c r="P456" t="str">
        <f>"4170071678                    "</f>
        <v xml:space="preserve">4170071678                    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0</v>
      </c>
      <c r="AJ456">
        <v>0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25.52</v>
      </c>
      <c r="AR456">
        <v>0</v>
      </c>
      <c r="AS456">
        <v>0</v>
      </c>
      <c r="AT456">
        <v>0</v>
      </c>
      <c r="AU456">
        <v>0</v>
      </c>
      <c r="AV456">
        <v>0</v>
      </c>
      <c r="AW456">
        <v>0</v>
      </c>
      <c r="AX456">
        <v>0</v>
      </c>
      <c r="AY456">
        <v>0</v>
      </c>
      <c r="AZ456">
        <v>0</v>
      </c>
      <c r="BA456">
        <v>0</v>
      </c>
      <c r="BB456">
        <v>0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1</v>
      </c>
      <c r="BI456">
        <v>1</v>
      </c>
      <c r="BJ456">
        <v>0.2</v>
      </c>
      <c r="BK456">
        <v>1</v>
      </c>
      <c r="BL456">
        <v>76.06</v>
      </c>
      <c r="BM456">
        <v>11.41</v>
      </c>
      <c r="BN456">
        <v>87.47</v>
      </c>
      <c r="BO456">
        <v>87.47</v>
      </c>
      <c r="BQ456" t="s">
        <v>262</v>
      </c>
      <c r="BR456" t="s">
        <v>82</v>
      </c>
      <c r="BS456" s="3">
        <v>45995</v>
      </c>
      <c r="BT456" s="4">
        <v>0.40902777777777777</v>
      </c>
      <c r="BU456" t="s">
        <v>1130</v>
      </c>
      <c r="BV456" t="s">
        <v>84</v>
      </c>
      <c r="BY456">
        <v>1200</v>
      </c>
      <c r="BZ456" t="s">
        <v>271</v>
      </c>
      <c r="CA456" t="s">
        <v>264</v>
      </c>
      <c r="CC456" t="s">
        <v>157</v>
      </c>
      <c r="CD456">
        <v>7441</v>
      </c>
      <c r="CE456" t="s">
        <v>127</v>
      </c>
      <c r="CF456" s="3">
        <v>45996</v>
      </c>
      <c r="CI456">
        <v>1</v>
      </c>
      <c r="CJ456">
        <v>1</v>
      </c>
      <c r="CK456">
        <v>21</v>
      </c>
      <c r="CL456" t="s">
        <v>87</v>
      </c>
    </row>
    <row r="457" spans="1:90" x14ac:dyDescent="0.3">
      <c r="A457" t="s">
        <v>72</v>
      </c>
      <c r="B457" t="s">
        <v>73</v>
      </c>
      <c r="C457" t="s">
        <v>74</v>
      </c>
      <c r="E457" t="str">
        <f>"080069656526"</f>
        <v>080069656526</v>
      </c>
      <c r="F457" s="3">
        <v>45994</v>
      </c>
      <c r="G457">
        <v>202609</v>
      </c>
      <c r="H457" t="s">
        <v>75</v>
      </c>
      <c r="I457" t="s">
        <v>76</v>
      </c>
      <c r="J457" t="s">
        <v>77</v>
      </c>
      <c r="K457" t="s">
        <v>78</v>
      </c>
      <c r="L457" t="s">
        <v>141</v>
      </c>
      <c r="M457" t="s">
        <v>142</v>
      </c>
      <c r="N457" t="s">
        <v>1050</v>
      </c>
      <c r="O457" t="s">
        <v>89</v>
      </c>
      <c r="P457" t="str">
        <f>"4170071745                    "</f>
        <v xml:space="preserve">4170071745                    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0</v>
      </c>
      <c r="AJ457">
        <v>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25.52</v>
      </c>
      <c r="AR457">
        <v>0</v>
      </c>
      <c r="AS457">
        <v>0</v>
      </c>
      <c r="AT457">
        <v>0</v>
      </c>
      <c r="AU457">
        <v>0</v>
      </c>
      <c r="AV457">
        <v>0</v>
      </c>
      <c r="AW457">
        <v>0</v>
      </c>
      <c r="AX457">
        <v>0</v>
      </c>
      <c r="AY457">
        <v>0</v>
      </c>
      <c r="AZ457">
        <v>0</v>
      </c>
      <c r="BA457">
        <v>0</v>
      </c>
      <c r="BB457">
        <v>0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1</v>
      </c>
      <c r="BI457">
        <v>1</v>
      </c>
      <c r="BJ457">
        <v>1.9</v>
      </c>
      <c r="BK457">
        <v>2</v>
      </c>
      <c r="BL457">
        <v>76.06</v>
      </c>
      <c r="BM457">
        <v>11.41</v>
      </c>
      <c r="BN457">
        <v>87.47</v>
      </c>
      <c r="BO457">
        <v>87.47</v>
      </c>
      <c r="BQ457" t="s">
        <v>1051</v>
      </c>
      <c r="BR457" t="s">
        <v>82</v>
      </c>
      <c r="BS457" s="3">
        <v>45995</v>
      </c>
      <c r="BT457" s="4">
        <v>0.42222222222222222</v>
      </c>
      <c r="BU457" t="s">
        <v>1052</v>
      </c>
      <c r="BV457" t="s">
        <v>84</v>
      </c>
      <c r="BY457">
        <v>9600</v>
      </c>
      <c r="BZ457" t="s">
        <v>271</v>
      </c>
      <c r="CA457" t="s">
        <v>146</v>
      </c>
      <c r="CC457" t="s">
        <v>142</v>
      </c>
      <c r="CD457">
        <v>6000</v>
      </c>
      <c r="CE457" t="s">
        <v>147</v>
      </c>
      <c r="CF457" s="3">
        <v>45995</v>
      </c>
      <c r="CI457">
        <v>1</v>
      </c>
      <c r="CJ457">
        <v>1</v>
      </c>
      <c r="CK457">
        <v>21</v>
      </c>
      <c r="CL457" t="s">
        <v>87</v>
      </c>
    </row>
    <row r="458" spans="1:90" x14ac:dyDescent="0.3">
      <c r="A458" t="s">
        <v>72</v>
      </c>
      <c r="B458" t="s">
        <v>73</v>
      </c>
      <c r="C458" t="s">
        <v>74</v>
      </c>
      <c r="E458" t="str">
        <f>"080069656533"</f>
        <v>080069656533</v>
      </c>
      <c r="F458" s="3">
        <v>45994</v>
      </c>
      <c r="G458">
        <v>202609</v>
      </c>
      <c r="H458" t="s">
        <v>75</v>
      </c>
      <c r="I458" t="s">
        <v>76</v>
      </c>
      <c r="J458" t="s">
        <v>77</v>
      </c>
      <c r="K458" t="s">
        <v>78</v>
      </c>
      <c r="L458" t="s">
        <v>141</v>
      </c>
      <c r="M458" t="s">
        <v>142</v>
      </c>
      <c r="N458" t="s">
        <v>856</v>
      </c>
      <c r="O458" t="s">
        <v>89</v>
      </c>
      <c r="P458" t="str">
        <f>"4170071779                    "</f>
        <v xml:space="preserve">4170071779                    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  <c r="AJ458">
        <v>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25.52</v>
      </c>
      <c r="AR458">
        <v>0</v>
      </c>
      <c r="AS458">
        <v>0</v>
      </c>
      <c r="AT458">
        <v>0</v>
      </c>
      <c r="AU458">
        <v>0</v>
      </c>
      <c r="AV458">
        <v>0</v>
      </c>
      <c r="AW458">
        <v>0</v>
      </c>
      <c r="AX458">
        <v>0</v>
      </c>
      <c r="AY458">
        <v>0</v>
      </c>
      <c r="AZ458">
        <v>0</v>
      </c>
      <c r="BA458">
        <v>0</v>
      </c>
      <c r="BB458">
        <v>0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1</v>
      </c>
      <c r="BI458">
        <v>1</v>
      </c>
      <c r="BJ458">
        <v>0.2</v>
      </c>
      <c r="BK458">
        <v>1</v>
      </c>
      <c r="BL458">
        <v>76.06</v>
      </c>
      <c r="BM458">
        <v>11.41</v>
      </c>
      <c r="BN458">
        <v>87.47</v>
      </c>
      <c r="BO458">
        <v>87.47</v>
      </c>
      <c r="BQ458" t="s">
        <v>857</v>
      </c>
      <c r="BR458" t="s">
        <v>82</v>
      </c>
      <c r="BS458" s="3">
        <v>45995</v>
      </c>
      <c r="BT458" s="4">
        <v>0.42499999999999999</v>
      </c>
      <c r="BU458" t="s">
        <v>858</v>
      </c>
      <c r="BV458" t="s">
        <v>84</v>
      </c>
      <c r="BY458">
        <v>1200</v>
      </c>
      <c r="BZ458" t="s">
        <v>271</v>
      </c>
      <c r="CA458" t="s">
        <v>146</v>
      </c>
      <c r="CC458" t="s">
        <v>142</v>
      </c>
      <c r="CD458">
        <v>6000</v>
      </c>
      <c r="CE458" t="s">
        <v>127</v>
      </c>
      <c r="CF458" s="3">
        <v>45995</v>
      </c>
      <c r="CI458">
        <v>1</v>
      </c>
      <c r="CJ458">
        <v>1</v>
      </c>
      <c r="CK458">
        <v>21</v>
      </c>
      <c r="CL458" t="s">
        <v>87</v>
      </c>
    </row>
    <row r="459" spans="1:90" x14ac:dyDescent="0.3">
      <c r="A459" t="s">
        <v>72</v>
      </c>
      <c r="B459" t="s">
        <v>73</v>
      </c>
      <c r="C459" t="s">
        <v>74</v>
      </c>
      <c r="E459" t="str">
        <f>"080069656581"</f>
        <v>080069656581</v>
      </c>
      <c r="F459" s="3">
        <v>45994</v>
      </c>
      <c r="G459">
        <v>202609</v>
      </c>
      <c r="H459" t="s">
        <v>75</v>
      </c>
      <c r="I459" t="s">
        <v>76</v>
      </c>
      <c r="J459" t="s">
        <v>77</v>
      </c>
      <c r="K459" t="s">
        <v>78</v>
      </c>
      <c r="L459" t="s">
        <v>100</v>
      </c>
      <c r="M459" t="s">
        <v>101</v>
      </c>
      <c r="N459" t="s">
        <v>1153</v>
      </c>
      <c r="O459" t="s">
        <v>89</v>
      </c>
      <c r="P459" t="str">
        <f>"4170071637                    "</f>
        <v xml:space="preserve">4170071637                    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0</v>
      </c>
      <c r="X459">
        <v>0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0</v>
      </c>
      <c r="AG459">
        <v>0</v>
      </c>
      <c r="AH459">
        <v>0</v>
      </c>
      <c r="AI459">
        <v>0</v>
      </c>
      <c r="AJ459">
        <v>0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25.52</v>
      </c>
      <c r="AR459">
        <v>0</v>
      </c>
      <c r="AS459">
        <v>0</v>
      </c>
      <c r="AT459">
        <v>0</v>
      </c>
      <c r="AU459">
        <v>0</v>
      </c>
      <c r="AV459">
        <v>0</v>
      </c>
      <c r="AW459">
        <v>0</v>
      </c>
      <c r="AX459">
        <v>0</v>
      </c>
      <c r="AY459">
        <v>0</v>
      </c>
      <c r="AZ459">
        <v>0</v>
      </c>
      <c r="BA459">
        <v>0</v>
      </c>
      <c r="BB459">
        <v>0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1</v>
      </c>
      <c r="BI459">
        <v>1</v>
      </c>
      <c r="BJ459">
        <v>0.2</v>
      </c>
      <c r="BK459">
        <v>1</v>
      </c>
      <c r="BL459">
        <v>76.06</v>
      </c>
      <c r="BM459">
        <v>11.41</v>
      </c>
      <c r="BN459">
        <v>87.47</v>
      </c>
      <c r="BO459">
        <v>87.47</v>
      </c>
      <c r="BQ459" t="s">
        <v>1154</v>
      </c>
      <c r="BR459" t="s">
        <v>82</v>
      </c>
      <c r="BS459" s="3">
        <v>45995</v>
      </c>
      <c r="BT459" s="4">
        <v>0.47916666666666669</v>
      </c>
      <c r="BU459" t="s">
        <v>1155</v>
      </c>
      <c r="BV459" t="s">
        <v>87</v>
      </c>
      <c r="BY459">
        <v>1200</v>
      </c>
      <c r="CA459" t="s">
        <v>1156</v>
      </c>
      <c r="CC459" t="s">
        <v>101</v>
      </c>
      <c r="CD459">
        <v>4052</v>
      </c>
      <c r="CE459" t="s">
        <v>134</v>
      </c>
      <c r="CF459" s="3">
        <v>45995</v>
      </c>
      <c r="CI459">
        <v>1</v>
      </c>
      <c r="CJ459">
        <v>1</v>
      </c>
      <c r="CK459">
        <v>21</v>
      </c>
      <c r="CL459" t="s">
        <v>87</v>
      </c>
    </row>
    <row r="460" spans="1:90" x14ac:dyDescent="0.3">
      <c r="A460" t="s">
        <v>72</v>
      </c>
      <c r="B460" t="s">
        <v>73</v>
      </c>
      <c r="C460" t="s">
        <v>74</v>
      </c>
      <c r="E460" t="str">
        <f>"080069656614"</f>
        <v>080069656614</v>
      </c>
      <c r="F460" s="3">
        <v>45994</v>
      </c>
      <c r="G460">
        <v>202609</v>
      </c>
      <c r="H460" t="s">
        <v>75</v>
      </c>
      <c r="I460" t="s">
        <v>76</v>
      </c>
      <c r="J460" t="s">
        <v>77</v>
      </c>
      <c r="K460" t="s">
        <v>78</v>
      </c>
      <c r="L460" t="s">
        <v>176</v>
      </c>
      <c r="M460" t="s">
        <v>177</v>
      </c>
      <c r="N460" t="s">
        <v>1157</v>
      </c>
      <c r="O460" t="s">
        <v>89</v>
      </c>
      <c r="P460" t="str">
        <f>"4170071671                    "</f>
        <v xml:space="preserve">4170071671                    </v>
      </c>
      <c r="Q460">
        <v>0</v>
      </c>
      <c r="R460">
        <v>0</v>
      </c>
      <c r="S460">
        <v>0</v>
      </c>
      <c r="T460">
        <v>0</v>
      </c>
      <c r="U460">
        <v>0</v>
      </c>
      <c r="V460">
        <v>0</v>
      </c>
      <c r="W460">
        <v>0</v>
      </c>
      <c r="X460">
        <v>0</v>
      </c>
      <c r="Y460">
        <v>0</v>
      </c>
      <c r="Z460">
        <v>0</v>
      </c>
      <c r="AA460">
        <v>0</v>
      </c>
      <c r="AB460">
        <v>0</v>
      </c>
      <c r="AC460">
        <v>0</v>
      </c>
      <c r="AD460">
        <v>0</v>
      </c>
      <c r="AE460">
        <v>0</v>
      </c>
      <c r="AF460">
        <v>0</v>
      </c>
      <c r="AG460">
        <v>0</v>
      </c>
      <c r="AH460">
        <v>0</v>
      </c>
      <c r="AI460">
        <v>0</v>
      </c>
      <c r="AJ460">
        <v>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19.940000000000001</v>
      </c>
      <c r="AR460">
        <v>0</v>
      </c>
      <c r="AS460">
        <v>0</v>
      </c>
      <c r="AT460">
        <v>0</v>
      </c>
      <c r="AU460">
        <v>0</v>
      </c>
      <c r="AV460">
        <v>0</v>
      </c>
      <c r="AW460">
        <v>0</v>
      </c>
      <c r="AX460">
        <v>0</v>
      </c>
      <c r="AY460">
        <v>0</v>
      </c>
      <c r="AZ460">
        <v>0</v>
      </c>
      <c r="BA460">
        <v>0</v>
      </c>
      <c r="BB460">
        <v>0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1</v>
      </c>
      <c r="BI460">
        <v>1</v>
      </c>
      <c r="BJ460">
        <v>0.2</v>
      </c>
      <c r="BK460">
        <v>1</v>
      </c>
      <c r="BL460">
        <v>59.42</v>
      </c>
      <c r="BM460">
        <v>8.91</v>
      </c>
      <c r="BN460">
        <v>68.33</v>
      </c>
      <c r="BO460">
        <v>68.33</v>
      </c>
      <c r="BQ460" t="s">
        <v>1158</v>
      </c>
      <c r="BR460" t="s">
        <v>82</v>
      </c>
      <c r="BS460" s="3">
        <v>45995</v>
      </c>
      <c r="BT460" s="4">
        <v>0.52569444444444446</v>
      </c>
      <c r="BU460" t="s">
        <v>1159</v>
      </c>
      <c r="BV460" t="s">
        <v>87</v>
      </c>
      <c r="BY460">
        <v>1200</v>
      </c>
      <c r="CA460" t="s">
        <v>1160</v>
      </c>
      <c r="CC460" t="s">
        <v>177</v>
      </c>
      <c r="CD460">
        <v>2040</v>
      </c>
      <c r="CE460" t="s">
        <v>134</v>
      </c>
      <c r="CF460" s="3">
        <v>45996</v>
      </c>
      <c r="CI460">
        <v>1</v>
      </c>
      <c r="CJ460">
        <v>1</v>
      </c>
      <c r="CK460">
        <v>22</v>
      </c>
      <c r="CL460" t="s">
        <v>87</v>
      </c>
    </row>
    <row r="461" spans="1:90" x14ac:dyDescent="0.3">
      <c r="A461" t="s">
        <v>72</v>
      </c>
      <c r="B461" t="s">
        <v>73</v>
      </c>
      <c r="C461" t="s">
        <v>74</v>
      </c>
      <c r="E461" t="str">
        <f>"080069656656"</f>
        <v>080069656656</v>
      </c>
      <c r="F461" s="3">
        <v>45994</v>
      </c>
      <c r="G461">
        <v>202609</v>
      </c>
      <c r="H461" t="s">
        <v>75</v>
      </c>
      <c r="I461" t="s">
        <v>76</v>
      </c>
      <c r="J461" t="s">
        <v>77</v>
      </c>
      <c r="K461" t="s">
        <v>78</v>
      </c>
      <c r="L461" t="s">
        <v>176</v>
      </c>
      <c r="M461" t="s">
        <v>177</v>
      </c>
      <c r="N461" t="s">
        <v>1161</v>
      </c>
      <c r="O461" t="s">
        <v>89</v>
      </c>
      <c r="P461" t="str">
        <f>"4170071702                    "</f>
        <v xml:space="preserve">4170071702                    </v>
      </c>
      <c r="Q461">
        <v>0</v>
      </c>
      <c r="R461">
        <v>0</v>
      </c>
      <c r="S461">
        <v>0</v>
      </c>
      <c r="T461">
        <v>0</v>
      </c>
      <c r="U461">
        <v>0</v>
      </c>
      <c r="V461">
        <v>0</v>
      </c>
      <c r="W461">
        <v>0</v>
      </c>
      <c r="X461">
        <v>0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0</v>
      </c>
      <c r="AJ461">
        <v>0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19.940000000000001</v>
      </c>
      <c r="AR461">
        <v>0</v>
      </c>
      <c r="AS461">
        <v>0</v>
      </c>
      <c r="AT461">
        <v>0</v>
      </c>
      <c r="AU461">
        <v>0</v>
      </c>
      <c r="AV461">
        <v>0</v>
      </c>
      <c r="AW461">
        <v>0</v>
      </c>
      <c r="AX461">
        <v>0</v>
      </c>
      <c r="AY461">
        <v>0</v>
      </c>
      <c r="AZ461">
        <v>0</v>
      </c>
      <c r="BA461">
        <v>0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1</v>
      </c>
      <c r="BI461">
        <v>1</v>
      </c>
      <c r="BJ461">
        <v>0.2</v>
      </c>
      <c r="BK461">
        <v>1</v>
      </c>
      <c r="BL461">
        <v>59.42</v>
      </c>
      <c r="BM461">
        <v>8.91</v>
      </c>
      <c r="BN461">
        <v>68.33</v>
      </c>
      <c r="BO461">
        <v>68.33</v>
      </c>
      <c r="BQ461" t="s">
        <v>1162</v>
      </c>
      <c r="BR461" t="s">
        <v>82</v>
      </c>
      <c r="BS461" s="3">
        <v>45995</v>
      </c>
      <c r="BT461" s="4">
        <v>0.4201388888888889</v>
      </c>
      <c r="BU461" t="s">
        <v>1163</v>
      </c>
      <c r="BV461" t="s">
        <v>84</v>
      </c>
      <c r="BY461">
        <v>1200</v>
      </c>
      <c r="CA461" t="s">
        <v>409</v>
      </c>
      <c r="CC461" t="s">
        <v>177</v>
      </c>
      <c r="CD461">
        <v>2000</v>
      </c>
      <c r="CE461" t="s">
        <v>134</v>
      </c>
      <c r="CF461" s="3">
        <v>45996</v>
      </c>
      <c r="CI461">
        <v>1</v>
      </c>
      <c r="CJ461">
        <v>1</v>
      </c>
      <c r="CK461">
        <v>22</v>
      </c>
      <c r="CL461" t="s">
        <v>87</v>
      </c>
    </row>
    <row r="462" spans="1:90" x14ac:dyDescent="0.3">
      <c r="A462" t="s">
        <v>72</v>
      </c>
      <c r="B462" t="s">
        <v>73</v>
      </c>
      <c r="C462" t="s">
        <v>74</v>
      </c>
      <c r="E462" t="str">
        <f>"080069656668"</f>
        <v>080069656668</v>
      </c>
      <c r="F462" s="3">
        <v>45994</v>
      </c>
      <c r="G462">
        <v>202609</v>
      </c>
      <c r="H462" t="s">
        <v>75</v>
      </c>
      <c r="I462" t="s">
        <v>76</v>
      </c>
      <c r="J462" t="s">
        <v>77</v>
      </c>
      <c r="K462" t="s">
        <v>78</v>
      </c>
      <c r="L462" t="s">
        <v>75</v>
      </c>
      <c r="M462" t="s">
        <v>76</v>
      </c>
      <c r="N462" t="s">
        <v>1164</v>
      </c>
      <c r="O462" t="s">
        <v>89</v>
      </c>
      <c r="P462" t="str">
        <f>"4170071807                    "</f>
        <v xml:space="preserve">4170071807                    </v>
      </c>
      <c r="Q462">
        <v>0</v>
      </c>
      <c r="R462">
        <v>0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0</v>
      </c>
      <c r="AE462">
        <v>0</v>
      </c>
      <c r="AF462">
        <v>0</v>
      </c>
      <c r="AG462">
        <v>0</v>
      </c>
      <c r="AH462">
        <v>0</v>
      </c>
      <c r="AI462">
        <v>0</v>
      </c>
      <c r="AJ462">
        <v>0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19.940000000000001</v>
      </c>
      <c r="AR462">
        <v>0</v>
      </c>
      <c r="AS462">
        <v>0</v>
      </c>
      <c r="AT462">
        <v>0</v>
      </c>
      <c r="AU462">
        <v>0</v>
      </c>
      <c r="AV462">
        <v>0</v>
      </c>
      <c r="AW462">
        <v>0</v>
      </c>
      <c r="AX462">
        <v>0</v>
      </c>
      <c r="AY462">
        <v>0</v>
      </c>
      <c r="AZ462">
        <v>0</v>
      </c>
      <c r="BA462">
        <v>0</v>
      </c>
      <c r="BB462">
        <v>0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1</v>
      </c>
      <c r="BI462">
        <v>1</v>
      </c>
      <c r="BJ462">
        <v>0.2</v>
      </c>
      <c r="BK462">
        <v>1</v>
      </c>
      <c r="BL462">
        <v>59.42</v>
      </c>
      <c r="BM462">
        <v>8.91</v>
      </c>
      <c r="BN462">
        <v>68.33</v>
      </c>
      <c r="BO462">
        <v>68.33</v>
      </c>
      <c r="BQ462" t="s">
        <v>1165</v>
      </c>
      <c r="BR462" t="s">
        <v>82</v>
      </c>
      <c r="BS462" s="3">
        <v>45995</v>
      </c>
      <c r="BT462" s="4">
        <v>0.29166666666666669</v>
      </c>
      <c r="BU462" t="s">
        <v>91</v>
      </c>
      <c r="BV462" t="s">
        <v>84</v>
      </c>
      <c r="BY462">
        <v>1200</v>
      </c>
      <c r="CA462" t="s">
        <v>92</v>
      </c>
      <c r="CC462" t="s">
        <v>76</v>
      </c>
      <c r="CD462">
        <v>1600</v>
      </c>
      <c r="CE462" t="s">
        <v>134</v>
      </c>
      <c r="CF462" s="3">
        <v>45996</v>
      </c>
      <c r="CI462">
        <v>1</v>
      </c>
      <c r="CJ462">
        <v>1</v>
      </c>
      <c r="CK462">
        <v>22</v>
      </c>
      <c r="CL462" t="s">
        <v>87</v>
      </c>
    </row>
    <row r="463" spans="1:90" x14ac:dyDescent="0.3">
      <c r="A463" t="s">
        <v>72</v>
      </c>
      <c r="B463" t="s">
        <v>73</v>
      </c>
      <c r="C463" t="s">
        <v>74</v>
      </c>
      <c r="E463" t="str">
        <f>"080069656678"</f>
        <v>080069656678</v>
      </c>
      <c r="F463" s="3">
        <v>45994</v>
      </c>
      <c r="G463">
        <v>202609</v>
      </c>
      <c r="H463" t="s">
        <v>75</v>
      </c>
      <c r="I463" t="s">
        <v>76</v>
      </c>
      <c r="J463" t="s">
        <v>77</v>
      </c>
      <c r="K463" t="s">
        <v>78</v>
      </c>
      <c r="L463" t="s">
        <v>141</v>
      </c>
      <c r="M463" t="s">
        <v>142</v>
      </c>
      <c r="N463" t="s">
        <v>738</v>
      </c>
      <c r="O463" t="s">
        <v>89</v>
      </c>
      <c r="P463" t="str">
        <f>"4170071652                    "</f>
        <v xml:space="preserve">4170071652                    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  <c r="W463">
        <v>0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0</v>
      </c>
      <c r="AG463">
        <v>0</v>
      </c>
      <c r="AH463">
        <v>0</v>
      </c>
      <c r="AI463">
        <v>0</v>
      </c>
      <c r="AJ463">
        <v>0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25.52</v>
      </c>
      <c r="AR463">
        <v>0</v>
      </c>
      <c r="AS463">
        <v>0</v>
      </c>
      <c r="AT463">
        <v>0</v>
      </c>
      <c r="AU463">
        <v>0</v>
      </c>
      <c r="AV463">
        <v>0</v>
      </c>
      <c r="AW463">
        <v>0</v>
      </c>
      <c r="AX463">
        <v>0</v>
      </c>
      <c r="AY463">
        <v>0</v>
      </c>
      <c r="AZ463">
        <v>0</v>
      </c>
      <c r="BA463">
        <v>0</v>
      </c>
      <c r="BB463">
        <v>0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1</v>
      </c>
      <c r="BI463">
        <v>1</v>
      </c>
      <c r="BJ463">
        <v>0.2</v>
      </c>
      <c r="BK463">
        <v>1</v>
      </c>
      <c r="BL463">
        <v>76.06</v>
      </c>
      <c r="BM463">
        <v>11.41</v>
      </c>
      <c r="BN463">
        <v>87.47</v>
      </c>
      <c r="BO463">
        <v>87.47</v>
      </c>
      <c r="BQ463" t="s">
        <v>739</v>
      </c>
      <c r="BR463" t="s">
        <v>82</v>
      </c>
      <c r="BS463" s="3">
        <v>45995</v>
      </c>
      <c r="BT463" s="4">
        <v>0.40763888888888888</v>
      </c>
      <c r="BU463" t="s">
        <v>968</v>
      </c>
      <c r="BV463" t="s">
        <v>84</v>
      </c>
      <c r="BY463">
        <v>1200</v>
      </c>
      <c r="CA463" t="s">
        <v>277</v>
      </c>
      <c r="CC463" t="s">
        <v>142</v>
      </c>
      <c r="CD463">
        <v>6001</v>
      </c>
      <c r="CE463" t="s">
        <v>134</v>
      </c>
      <c r="CF463" s="3">
        <v>45995</v>
      </c>
      <c r="CI463">
        <v>1</v>
      </c>
      <c r="CJ463">
        <v>1</v>
      </c>
      <c r="CK463">
        <v>21</v>
      </c>
      <c r="CL463" t="s">
        <v>87</v>
      </c>
    </row>
    <row r="464" spans="1:90" x14ac:dyDescent="0.3">
      <c r="A464" t="s">
        <v>72</v>
      </c>
      <c r="B464" t="s">
        <v>73</v>
      </c>
      <c r="C464" t="s">
        <v>74</v>
      </c>
      <c r="E464" t="str">
        <f>"080069656687"</f>
        <v>080069656687</v>
      </c>
      <c r="F464" s="3">
        <v>45994</v>
      </c>
      <c r="G464">
        <v>202609</v>
      </c>
      <c r="H464" t="s">
        <v>75</v>
      </c>
      <c r="I464" t="s">
        <v>76</v>
      </c>
      <c r="J464" t="s">
        <v>77</v>
      </c>
      <c r="K464" t="s">
        <v>78</v>
      </c>
      <c r="L464" t="s">
        <v>332</v>
      </c>
      <c r="M464" t="s">
        <v>333</v>
      </c>
      <c r="N464" t="s">
        <v>334</v>
      </c>
      <c r="O464" t="s">
        <v>89</v>
      </c>
      <c r="P464" t="str">
        <f>"4170071756                    "</f>
        <v xml:space="preserve">4170071756                    </v>
      </c>
      <c r="Q464">
        <v>0</v>
      </c>
      <c r="R464">
        <v>0</v>
      </c>
      <c r="S464">
        <v>0</v>
      </c>
      <c r="T464">
        <v>0</v>
      </c>
      <c r="U464">
        <v>0</v>
      </c>
      <c r="V464">
        <v>0</v>
      </c>
      <c r="W464">
        <v>0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0</v>
      </c>
      <c r="AD464">
        <v>0</v>
      </c>
      <c r="AE464">
        <v>0</v>
      </c>
      <c r="AF464">
        <v>0</v>
      </c>
      <c r="AG464">
        <v>0</v>
      </c>
      <c r="AH464">
        <v>0</v>
      </c>
      <c r="AI464">
        <v>0</v>
      </c>
      <c r="AJ464">
        <v>0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49.45</v>
      </c>
      <c r="AR464">
        <v>0</v>
      </c>
      <c r="AS464">
        <v>0</v>
      </c>
      <c r="AT464">
        <v>0</v>
      </c>
      <c r="AU464">
        <v>0</v>
      </c>
      <c r="AV464">
        <v>0</v>
      </c>
      <c r="AW464">
        <v>0</v>
      </c>
      <c r="AX464">
        <v>0</v>
      </c>
      <c r="AY464">
        <v>0</v>
      </c>
      <c r="AZ464">
        <v>0</v>
      </c>
      <c r="BA464">
        <v>0</v>
      </c>
      <c r="BB464">
        <v>0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1</v>
      </c>
      <c r="BI464">
        <v>1</v>
      </c>
      <c r="BJ464">
        <v>0.2</v>
      </c>
      <c r="BK464">
        <v>1</v>
      </c>
      <c r="BL464">
        <v>147.38</v>
      </c>
      <c r="BM464">
        <v>22.11</v>
      </c>
      <c r="BN464">
        <v>169.49</v>
      </c>
      <c r="BO464">
        <v>169.49</v>
      </c>
      <c r="BQ464" t="s">
        <v>335</v>
      </c>
      <c r="BR464" t="s">
        <v>82</v>
      </c>
      <c r="BS464" s="3">
        <v>45995</v>
      </c>
      <c r="BT464" s="4">
        <v>0.64375000000000004</v>
      </c>
      <c r="BU464" t="s">
        <v>336</v>
      </c>
      <c r="BV464" t="s">
        <v>84</v>
      </c>
      <c r="BY464">
        <v>1200</v>
      </c>
      <c r="CC464" t="s">
        <v>333</v>
      </c>
      <c r="CD464">
        <v>6500</v>
      </c>
      <c r="CE464" t="s">
        <v>134</v>
      </c>
      <c r="CF464" s="3">
        <v>45996</v>
      </c>
      <c r="CI464">
        <v>1</v>
      </c>
      <c r="CJ464">
        <v>1</v>
      </c>
      <c r="CK464">
        <v>23</v>
      </c>
      <c r="CL464" t="s">
        <v>87</v>
      </c>
    </row>
    <row r="465" spans="1:90" x14ac:dyDescent="0.3">
      <c r="A465" t="s">
        <v>72</v>
      </c>
      <c r="B465" t="s">
        <v>73</v>
      </c>
      <c r="C465" t="s">
        <v>74</v>
      </c>
      <c r="E465" t="str">
        <f>"080069656695"</f>
        <v>080069656695</v>
      </c>
      <c r="F465" s="3">
        <v>45994</v>
      </c>
      <c r="G465">
        <v>202609</v>
      </c>
      <c r="H465" t="s">
        <v>75</v>
      </c>
      <c r="I465" t="s">
        <v>76</v>
      </c>
      <c r="J465" t="s">
        <v>77</v>
      </c>
      <c r="K465" t="s">
        <v>78</v>
      </c>
      <c r="L465" t="s">
        <v>100</v>
      </c>
      <c r="M465" t="s">
        <v>101</v>
      </c>
      <c r="N465" t="s">
        <v>102</v>
      </c>
      <c r="O465" t="s">
        <v>89</v>
      </c>
      <c r="P465" t="str">
        <f>"4170071786                    "</f>
        <v xml:space="preserve">4170071786                    </v>
      </c>
      <c r="Q465">
        <v>0</v>
      </c>
      <c r="R465">
        <v>0</v>
      </c>
      <c r="S465">
        <v>0</v>
      </c>
      <c r="T465">
        <v>0</v>
      </c>
      <c r="U465">
        <v>0</v>
      </c>
      <c r="V465">
        <v>0</v>
      </c>
      <c r="W465">
        <v>0</v>
      </c>
      <c r="X465">
        <v>0</v>
      </c>
      <c r="Y465">
        <v>0</v>
      </c>
      <c r="Z465">
        <v>0</v>
      </c>
      <c r="AA465">
        <v>0</v>
      </c>
      <c r="AB465">
        <v>0</v>
      </c>
      <c r="AC465">
        <v>0</v>
      </c>
      <c r="AD465">
        <v>0</v>
      </c>
      <c r="AE465">
        <v>0</v>
      </c>
      <c r="AF465">
        <v>0</v>
      </c>
      <c r="AG465">
        <v>0</v>
      </c>
      <c r="AH465">
        <v>0</v>
      </c>
      <c r="AI465">
        <v>0</v>
      </c>
      <c r="AJ465">
        <v>0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25.52</v>
      </c>
      <c r="AR465">
        <v>0</v>
      </c>
      <c r="AS465">
        <v>0</v>
      </c>
      <c r="AT465">
        <v>0</v>
      </c>
      <c r="AU465">
        <v>0</v>
      </c>
      <c r="AV465">
        <v>0</v>
      </c>
      <c r="AW465">
        <v>0</v>
      </c>
      <c r="AX465">
        <v>0</v>
      </c>
      <c r="AY465">
        <v>0</v>
      </c>
      <c r="AZ465">
        <v>0</v>
      </c>
      <c r="BA465">
        <v>0</v>
      </c>
      <c r="BB465">
        <v>0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1</v>
      </c>
      <c r="BI465">
        <v>1</v>
      </c>
      <c r="BJ465">
        <v>0.2</v>
      </c>
      <c r="BK465">
        <v>1</v>
      </c>
      <c r="BL465">
        <v>76.06</v>
      </c>
      <c r="BM465">
        <v>11.41</v>
      </c>
      <c r="BN465">
        <v>87.47</v>
      </c>
      <c r="BO465">
        <v>87.47</v>
      </c>
      <c r="BQ465" t="s">
        <v>103</v>
      </c>
      <c r="BR465" t="s">
        <v>82</v>
      </c>
      <c r="BS465" s="3">
        <v>45995</v>
      </c>
      <c r="BT465" s="4">
        <v>0.36458333333333331</v>
      </c>
      <c r="BU465" t="s">
        <v>398</v>
      </c>
      <c r="BV465" t="s">
        <v>84</v>
      </c>
      <c r="BY465">
        <v>1200</v>
      </c>
      <c r="BZ465" t="s">
        <v>271</v>
      </c>
      <c r="CA465" t="s">
        <v>107</v>
      </c>
      <c r="CC465" t="s">
        <v>101</v>
      </c>
      <c r="CD465">
        <v>4000</v>
      </c>
      <c r="CE465" t="s">
        <v>127</v>
      </c>
      <c r="CF465" s="3">
        <v>45995</v>
      </c>
      <c r="CI465">
        <v>1</v>
      </c>
      <c r="CJ465">
        <v>1</v>
      </c>
      <c r="CK465">
        <v>21</v>
      </c>
      <c r="CL465" t="s">
        <v>87</v>
      </c>
    </row>
    <row r="466" spans="1:90" x14ac:dyDescent="0.3">
      <c r="A466" t="s">
        <v>72</v>
      </c>
      <c r="B466" t="s">
        <v>73</v>
      </c>
      <c r="C466" t="s">
        <v>74</v>
      </c>
      <c r="E466" t="str">
        <f>"080011698843"</f>
        <v>080011698843</v>
      </c>
      <c r="F466" s="3">
        <v>45995</v>
      </c>
      <c r="G466">
        <v>202609</v>
      </c>
      <c r="H466" t="s">
        <v>156</v>
      </c>
      <c r="I466" t="s">
        <v>157</v>
      </c>
      <c r="J466" t="s">
        <v>1166</v>
      </c>
      <c r="K466" t="s">
        <v>78</v>
      </c>
      <c r="L466" t="s">
        <v>75</v>
      </c>
      <c r="M466" t="s">
        <v>76</v>
      </c>
      <c r="N466" t="s">
        <v>602</v>
      </c>
      <c r="O466" t="s">
        <v>89</v>
      </c>
      <c r="P466" t="str">
        <f>"Neville 3 Dec                 "</f>
        <v xml:space="preserve">Neville 3 Dec                 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0</v>
      </c>
      <c r="W466">
        <v>0</v>
      </c>
      <c r="X466">
        <v>0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0</v>
      </c>
      <c r="AH466">
        <v>0</v>
      </c>
      <c r="AI466">
        <v>0</v>
      </c>
      <c r="AJ466">
        <v>0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25.52</v>
      </c>
      <c r="AR466">
        <v>0</v>
      </c>
      <c r="AS466">
        <v>0</v>
      </c>
      <c r="AT466">
        <v>0</v>
      </c>
      <c r="AU466">
        <v>0</v>
      </c>
      <c r="AV466">
        <v>0</v>
      </c>
      <c r="AW466">
        <v>0</v>
      </c>
      <c r="AX466">
        <v>0</v>
      </c>
      <c r="AY466">
        <v>0</v>
      </c>
      <c r="AZ466">
        <v>0</v>
      </c>
      <c r="BA466">
        <v>0</v>
      </c>
      <c r="BB466">
        <v>0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1</v>
      </c>
      <c r="BI466">
        <v>1</v>
      </c>
      <c r="BJ466">
        <v>0.2</v>
      </c>
      <c r="BK466">
        <v>1</v>
      </c>
      <c r="BL466">
        <v>76.06</v>
      </c>
      <c r="BM466">
        <v>11.41</v>
      </c>
      <c r="BN466">
        <v>87.47</v>
      </c>
      <c r="BO466">
        <v>87.47</v>
      </c>
      <c r="BQ466" t="s">
        <v>603</v>
      </c>
      <c r="BR466" t="s">
        <v>1130</v>
      </c>
      <c r="BS466" s="3">
        <v>45996</v>
      </c>
      <c r="BT466" s="4">
        <v>0.39374999999999999</v>
      </c>
      <c r="BU466" t="s">
        <v>605</v>
      </c>
      <c r="BV466" t="s">
        <v>84</v>
      </c>
      <c r="BY466">
        <v>1200</v>
      </c>
      <c r="BZ466" t="s">
        <v>271</v>
      </c>
      <c r="CA466" t="s">
        <v>606</v>
      </c>
      <c r="CC466" t="s">
        <v>76</v>
      </c>
      <c r="CD466">
        <v>1619</v>
      </c>
      <c r="CE466" t="s">
        <v>607</v>
      </c>
      <c r="CF466" s="3">
        <v>45996</v>
      </c>
      <c r="CI466">
        <v>1</v>
      </c>
      <c r="CJ466">
        <v>1</v>
      </c>
      <c r="CK466">
        <v>21</v>
      </c>
      <c r="CL466" t="s">
        <v>87</v>
      </c>
    </row>
    <row r="467" spans="1:90" x14ac:dyDescent="0.3">
      <c r="A467" t="s">
        <v>72</v>
      </c>
      <c r="B467" t="s">
        <v>73</v>
      </c>
      <c r="C467" t="s">
        <v>74</v>
      </c>
      <c r="E467" t="str">
        <f>"080069668869"</f>
        <v>080069668869</v>
      </c>
      <c r="F467" s="3">
        <v>45995</v>
      </c>
      <c r="G467">
        <v>202609</v>
      </c>
      <c r="H467" t="s">
        <v>75</v>
      </c>
      <c r="I467" t="s">
        <v>76</v>
      </c>
      <c r="J467" t="s">
        <v>77</v>
      </c>
      <c r="K467" t="s">
        <v>78</v>
      </c>
      <c r="L467" t="s">
        <v>75</v>
      </c>
      <c r="M467" t="s">
        <v>76</v>
      </c>
      <c r="N467" t="s">
        <v>1167</v>
      </c>
      <c r="O467" t="s">
        <v>89</v>
      </c>
      <c r="P467" t="str">
        <f>"4170070943                    "</f>
        <v xml:space="preserve">4170070943                    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0</v>
      </c>
      <c r="AG467">
        <v>0</v>
      </c>
      <c r="AH467">
        <v>0</v>
      </c>
      <c r="AI467">
        <v>0</v>
      </c>
      <c r="AJ467">
        <v>0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19.940000000000001</v>
      </c>
      <c r="AR467">
        <v>0</v>
      </c>
      <c r="AS467">
        <v>0</v>
      </c>
      <c r="AT467">
        <v>0</v>
      </c>
      <c r="AU467">
        <v>0</v>
      </c>
      <c r="AV467">
        <v>0</v>
      </c>
      <c r="AW467">
        <v>0</v>
      </c>
      <c r="AX467">
        <v>0</v>
      </c>
      <c r="AY467">
        <v>0</v>
      </c>
      <c r="AZ467">
        <v>0</v>
      </c>
      <c r="BA467">
        <v>0</v>
      </c>
      <c r="BB467">
        <v>0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1</v>
      </c>
      <c r="BI467">
        <v>1</v>
      </c>
      <c r="BJ467">
        <v>0.2</v>
      </c>
      <c r="BK467">
        <v>1</v>
      </c>
      <c r="BL467">
        <v>59.42</v>
      </c>
      <c r="BM467">
        <v>8.91</v>
      </c>
      <c r="BN467">
        <v>68.33</v>
      </c>
      <c r="BO467">
        <v>68.33</v>
      </c>
      <c r="BQ467" t="s">
        <v>1168</v>
      </c>
      <c r="BR467" t="s">
        <v>82</v>
      </c>
      <c r="BS467" s="3">
        <v>45996</v>
      </c>
      <c r="BT467" s="4">
        <v>0.40277777777777779</v>
      </c>
      <c r="BU467" t="s">
        <v>387</v>
      </c>
      <c r="BV467" t="s">
        <v>84</v>
      </c>
      <c r="BY467">
        <v>1200</v>
      </c>
      <c r="CA467" t="s">
        <v>92</v>
      </c>
      <c r="CC467" t="s">
        <v>76</v>
      </c>
      <c r="CD467">
        <v>1625</v>
      </c>
      <c r="CE467" t="s">
        <v>134</v>
      </c>
      <c r="CF467" s="3">
        <v>45997</v>
      </c>
      <c r="CI467">
        <v>1</v>
      </c>
      <c r="CJ467">
        <v>1</v>
      </c>
      <c r="CK467">
        <v>22</v>
      </c>
      <c r="CL467" t="s">
        <v>87</v>
      </c>
    </row>
    <row r="468" spans="1:90" x14ac:dyDescent="0.3">
      <c r="A468" t="s">
        <v>72</v>
      </c>
      <c r="B468" t="s">
        <v>73</v>
      </c>
      <c r="C468" t="s">
        <v>74</v>
      </c>
      <c r="E468" t="str">
        <f>"080069668933"</f>
        <v>080069668933</v>
      </c>
      <c r="F468" s="3">
        <v>45995</v>
      </c>
      <c r="G468">
        <v>202609</v>
      </c>
      <c r="H468" t="s">
        <v>75</v>
      </c>
      <c r="I468" t="s">
        <v>76</v>
      </c>
      <c r="J468" t="s">
        <v>77</v>
      </c>
      <c r="K468" t="s">
        <v>78</v>
      </c>
      <c r="L468" t="s">
        <v>156</v>
      </c>
      <c r="M468" t="s">
        <v>157</v>
      </c>
      <c r="N468" t="s">
        <v>960</v>
      </c>
      <c r="O468" t="s">
        <v>89</v>
      </c>
      <c r="P468" t="str">
        <f>"4170071517                    "</f>
        <v xml:space="preserve">4170071517                    </v>
      </c>
      <c r="Q468">
        <v>0</v>
      </c>
      <c r="R468">
        <v>0</v>
      </c>
      <c r="S468">
        <v>0</v>
      </c>
      <c r="T468">
        <v>0</v>
      </c>
      <c r="U468">
        <v>0</v>
      </c>
      <c r="V468">
        <v>0</v>
      </c>
      <c r="W468">
        <v>0</v>
      </c>
      <c r="X468">
        <v>0</v>
      </c>
      <c r="Y468">
        <v>0</v>
      </c>
      <c r="Z468">
        <v>0</v>
      </c>
      <c r="AA468">
        <v>0</v>
      </c>
      <c r="AB468">
        <v>0</v>
      </c>
      <c r="AC468">
        <v>0</v>
      </c>
      <c r="AD468">
        <v>0</v>
      </c>
      <c r="AE468">
        <v>0</v>
      </c>
      <c r="AF468">
        <v>0</v>
      </c>
      <c r="AG468">
        <v>0</v>
      </c>
      <c r="AH468">
        <v>0</v>
      </c>
      <c r="AI468">
        <v>0</v>
      </c>
      <c r="AJ468">
        <v>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25.52</v>
      </c>
      <c r="AR468">
        <v>0</v>
      </c>
      <c r="AS468">
        <v>0</v>
      </c>
      <c r="AT468">
        <v>0</v>
      </c>
      <c r="AU468">
        <v>0</v>
      </c>
      <c r="AV468">
        <v>0</v>
      </c>
      <c r="AW468">
        <v>0</v>
      </c>
      <c r="AX468">
        <v>0</v>
      </c>
      <c r="AY468">
        <v>0</v>
      </c>
      <c r="AZ468">
        <v>0</v>
      </c>
      <c r="BA468">
        <v>0</v>
      </c>
      <c r="BB468">
        <v>0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1</v>
      </c>
      <c r="BI468">
        <v>1</v>
      </c>
      <c r="BJ468">
        <v>0.2</v>
      </c>
      <c r="BK468">
        <v>1</v>
      </c>
      <c r="BL468">
        <v>76.06</v>
      </c>
      <c r="BM468">
        <v>11.41</v>
      </c>
      <c r="BN468">
        <v>87.47</v>
      </c>
      <c r="BO468">
        <v>87.47</v>
      </c>
      <c r="BQ468" t="s">
        <v>961</v>
      </c>
      <c r="BR468" t="s">
        <v>82</v>
      </c>
      <c r="BS468" s="3">
        <v>45996</v>
      </c>
      <c r="BT468" s="4">
        <v>0.41249999999999998</v>
      </c>
      <c r="BU468" t="s">
        <v>962</v>
      </c>
      <c r="BV468" t="s">
        <v>84</v>
      </c>
      <c r="BY468">
        <v>1200</v>
      </c>
      <c r="CA468" t="s">
        <v>346</v>
      </c>
      <c r="CC468" t="s">
        <v>157</v>
      </c>
      <c r="CD468">
        <v>7530</v>
      </c>
      <c r="CE468" t="s">
        <v>134</v>
      </c>
      <c r="CF468" s="3">
        <v>45999</v>
      </c>
      <c r="CI468">
        <v>1</v>
      </c>
      <c r="CJ468">
        <v>1</v>
      </c>
      <c r="CK468">
        <v>21</v>
      </c>
      <c r="CL468" t="s">
        <v>87</v>
      </c>
    </row>
    <row r="469" spans="1:90" x14ac:dyDescent="0.3">
      <c r="A469" t="s">
        <v>72</v>
      </c>
      <c r="B469" t="s">
        <v>73</v>
      </c>
      <c r="C469" t="s">
        <v>74</v>
      </c>
      <c r="E469" t="str">
        <f>"080069668981"</f>
        <v>080069668981</v>
      </c>
      <c r="F469" s="3">
        <v>45995</v>
      </c>
      <c r="G469">
        <v>202609</v>
      </c>
      <c r="H469" t="s">
        <v>75</v>
      </c>
      <c r="I469" t="s">
        <v>76</v>
      </c>
      <c r="J469" t="s">
        <v>77</v>
      </c>
      <c r="K469" t="s">
        <v>78</v>
      </c>
      <c r="L469" t="s">
        <v>302</v>
      </c>
      <c r="M469" t="s">
        <v>303</v>
      </c>
      <c r="N469" t="s">
        <v>1169</v>
      </c>
      <c r="O469" t="s">
        <v>89</v>
      </c>
      <c r="P469" t="str">
        <f>"4170071703                    "</f>
        <v xml:space="preserve">4170071703                    </v>
      </c>
      <c r="Q469">
        <v>0</v>
      </c>
      <c r="R469">
        <v>0</v>
      </c>
      <c r="S469">
        <v>0</v>
      </c>
      <c r="T469">
        <v>0</v>
      </c>
      <c r="U469">
        <v>0</v>
      </c>
      <c r="V469">
        <v>0</v>
      </c>
      <c r="W469">
        <v>0</v>
      </c>
      <c r="X469">
        <v>0</v>
      </c>
      <c r="Y469">
        <v>0</v>
      </c>
      <c r="Z469">
        <v>0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0</v>
      </c>
      <c r="AJ469">
        <v>0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25.52</v>
      </c>
      <c r="AR469">
        <v>0</v>
      </c>
      <c r="AS469">
        <v>0</v>
      </c>
      <c r="AT469">
        <v>0</v>
      </c>
      <c r="AU469">
        <v>0</v>
      </c>
      <c r="AV469">
        <v>0</v>
      </c>
      <c r="AW469">
        <v>0</v>
      </c>
      <c r="AX469">
        <v>0</v>
      </c>
      <c r="AY469">
        <v>0</v>
      </c>
      <c r="AZ469">
        <v>0</v>
      </c>
      <c r="BA469">
        <v>0</v>
      </c>
      <c r="BB469">
        <v>0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1</v>
      </c>
      <c r="BI469">
        <v>0.2</v>
      </c>
      <c r="BJ469">
        <v>0.5</v>
      </c>
      <c r="BK469">
        <v>0.5</v>
      </c>
      <c r="BL469">
        <v>76.06</v>
      </c>
      <c r="BM469">
        <v>11.41</v>
      </c>
      <c r="BN469">
        <v>87.47</v>
      </c>
      <c r="BO469">
        <v>87.47</v>
      </c>
      <c r="BQ469" t="s">
        <v>1170</v>
      </c>
      <c r="BR469" t="s">
        <v>82</v>
      </c>
      <c r="BS469" s="3">
        <v>45996</v>
      </c>
      <c r="BT469" s="4">
        <v>0.40972222222222221</v>
      </c>
      <c r="BU469" t="s">
        <v>1171</v>
      </c>
      <c r="BV469" t="s">
        <v>84</v>
      </c>
      <c r="BY469">
        <v>2507.96</v>
      </c>
      <c r="CA469">
        <v>8110305701087</v>
      </c>
      <c r="CC469" t="s">
        <v>303</v>
      </c>
      <c r="CD469" s="5" t="s">
        <v>933</v>
      </c>
      <c r="CE469" t="s">
        <v>134</v>
      </c>
      <c r="CF469" s="3">
        <v>45996</v>
      </c>
      <c r="CI469">
        <v>1</v>
      </c>
      <c r="CJ469">
        <v>1</v>
      </c>
      <c r="CK469">
        <v>21</v>
      </c>
      <c r="CL469" t="s">
        <v>87</v>
      </c>
    </row>
    <row r="470" spans="1:90" x14ac:dyDescent="0.3">
      <c r="A470" t="s">
        <v>72</v>
      </c>
      <c r="B470" t="s">
        <v>73</v>
      </c>
      <c r="C470" t="s">
        <v>74</v>
      </c>
      <c r="E470" t="str">
        <f>"080069669005"</f>
        <v>080069669005</v>
      </c>
      <c r="F470" s="3">
        <v>45995</v>
      </c>
      <c r="G470">
        <v>202609</v>
      </c>
      <c r="H470" t="s">
        <v>75</v>
      </c>
      <c r="I470" t="s">
        <v>76</v>
      </c>
      <c r="J470" t="s">
        <v>77</v>
      </c>
      <c r="K470" t="s">
        <v>78</v>
      </c>
      <c r="L470" t="s">
        <v>302</v>
      </c>
      <c r="M470" t="s">
        <v>303</v>
      </c>
      <c r="N470" t="s">
        <v>347</v>
      </c>
      <c r="O470" t="s">
        <v>80</v>
      </c>
      <c r="P470" t="str">
        <f>"4170071635                    "</f>
        <v xml:space="preserve">4170071635                    </v>
      </c>
      <c r="Q470">
        <v>0</v>
      </c>
      <c r="R470">
        <v>0</v>
      </c>
      <c r="S470">
        <v>0</v>
      </c>
      <c r="T470">
        <v>0</v>
      </c>
      <c r="U470">
        <v>0</v>
      </c>
      <c r="V470">
        <v>0</v>
      </c>
      <c r="W470">
        <v>0</v>
      </c>
      <c r="X470">
        <v>0</v>
      </c>
      <c r="Y470">
        <v>0</v>
      </c>
      <c r="Z470">
        <v>0</v>
      </c>
      <c r="AA470">
        <v>0</v>
      </c>
      <c r="AB470">
        <v>0</v>
      </c>
      <c r="AC470">
        <v>0</v>
      </c>
      <c r="AD470">
        <v>0</v>
      </c>
      <c r="AE470">
        <v>0</v>
      </c>
      <c r="AF470">
        <v>0</v>
      </c>
      <c r="AG470">
        <v>0</v>
      </c>
      <c r="AH470">
        <v>0</v>
      </c>
      <c r="AI470">
        <v>0</v>
      </c>
      <c r="AJ470">
        <v>0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49.36</v>
      </c>
      <c r="AR470">
        <v>0</v>
      </c>
      <c r="AS470">
        <v>0</v>
      </c>
      <c r="AT470">
        <v>0</v>
      </c>
      <c r="AU470">
        <v>0</v>
      </c>
      <c r="AV470">
        <v>0</v>
      </c>
      <c r="AW470">
        <v>0</v>
      </c>
      <c r="AX470">
        <v>0</v>
      </c>
      <c r="AY470">
        <v>0</v>
      </c>
      <c r="AZ470">
        <v>0</v>
      </c>
      <c r="BA470">
        <v>0</v>
      </c>
      <c r="BB470">
        <v>0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1</v>
      </c>
      <c r="BI470">
        <v>3.7</v>
      </c>
      <c r="BJ470">
        <v>6.2</v>
      </c>
      <c r="BK470">
        <v>7</v>
      </c>
      <c r="BL470">
        <v>153.19999999999999</v>
      </c>
      <c r="BM470">
        <v>22.98</v>
      </c>
      <c r="BN470">
        <v>176.18</v>
      </c>
      <c r="BO470">
        <v>176.18</v>
      </c>
      <c r="BQ470" t="s">
        <v>348</v>
      </c>
      <c r="BR470" t="s">
        <v>82</v>
      </c>
      <c r="BS470" s="3">
        <v>45996</v>
      </c>
      <c r="BT470" s="4">
        <v>0.40138888888888891</v>
      </c>
      <c r="BU470" t="s">
        <v>920</v>
      </c>
      <c r="BV470" t="s">
        <v>84</v>
      </c>
      <c r="BY470">
        <v>31083.52</v>
      </c>
      <c r="CA470">
        <v>7709040539081</v>
      </c>
      <c r="CC470" t="s">
        <v>303</v>
      </c>
      <c r="CD470" s="5" t="s">
        <v>350</v>
      </c>
      <c r="CE470" t="s">
        <v>93</v>
      </c>
      <c r="CF470" s="3">
        <v>45996</v>
      </c>
      <c r="CI470">
        <v>1</v>
      </c>
      <c r="CJ470">
        <v>1</v>
      </c>
      <c r="CK470">
        <v>41</v>
      </c>
      <c r="CL470" t="s">
        <v>87</v>
      </c>
    </row>
    <row r="471" spans="1:90" x14ac:dyDescent="0.3">
      <c r="A471" t="s">
        <v>72</v>
      </c>
      <c r="B471" t="s">
        <v>73</v>
      </c>
      <c r="C471" t="s">
        <v>74</v>
      </c>
      <c r="E471" t="str">
        <f>"080069669028"</f>
        <v>080069669028</v>
      </c>
      <c r="F471" s="3">
        <v>45995</v>
      </c>
      <c r="G471">
        <v>202609</v>
      </c>
      <c r="H471" t="s">
        <v>75</v>
      </c>
      <c r="I471" t="s">
        <v>76</v>
      </c>
      <c r="J471" t="s">
        <v>77</v>
      </c>
      <c r="K471" t="s">
        <v>78</v>
      </c>
      <c r="L471" t="s">
        <v>141</v>
      </c>
      <c r="M471" t="s">
        <v>142</v>
      </c>
      <c r="N471" t="s">
        <v>568</v>
      </c>
      <c r="O471" t="s">
        <v>89</v>
      </c>
      <c r="P471" t="str">
        <f>"4170071717                    "</f>
        <v xml:space="preserve">4170071717                    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0</v>
      </c>
      <c r="W471">
        <v>0</v>
      </c>
      <c r="X471">
        <v>0</v>
      </c>
      <c r="Y471">
        <v>0</v>
      </c>
      <c r="Z471">
        <v>0</v>
      </c>
      <c r="AA471">
        <v>0</v>
      </c>
      <c r="AB471">
        <v>0</v>
      </c>
      <c r="AC471">
        <v>0</v>
      </c>
      <c r="AD471">
        <v>0</v>
      </c>
      <c r="AE471">
        <v>0</v>
      </c>
      <c r="AF471">
        <v>0</v>
      </c>
      <c r="AG471">
        <v>0</v>
      </c>
      <c r="AH471">
        <v>0</v>
      </c>
      <c r="AI471">
        <v>0</v>
      </c>
      <c r="AJ471">
        <v>0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25.52</v>
      </c>
      <c r="AR471">
        <v>0</v>
      </c>
      <c r="AS471">
        <v>0</v>
      </c>
      <c r="AT471">
        <v>0</v>
      </c>
      <c r="AU471">
        <v>0</v>
      </c>
      <c r="AV471">
        <v>0</v>
      </c>
      <c r="AW471">
        <v>0</v>
      </c>
      <c r="AX471">
        <v>0</v>
      </c>
      <c r="AY471">
        <v>0</v>
      </c>
      <c r="AZ471">
        <v>0</v>
      </c>
      <c r="BA471">
        <v>0</v>
      </c>
      <c r="BB471">
        <v>0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1</v>
      </c>
      <c r="BI471">
        <v>1</v>
      </c>
      <c r="BJ471">
        <v>0.2</v>
      </c>
      <c r="BK471">
        <v>1</v>
      </c>
      <c r="BL471">
        <v>76.06</v>
      </c>
      <c r="BM471">
        <v>11.41</v>
      </c>
      <c r="BN471">
        <v>87.47</v>
      </c>
      <c r="BO471">
        <v>87.47</v>
      </c>
      <c r="BQ471" t="s">
        <v>569</v>
      </c>
      <c r="BR471" t="s">
        <v>82</v>
      </c>
      <c r="BS471" s="3">
        <v>45996</v>
      </c>
      <c r="BT471" s="4">
        <v>0.43402777777777779</v>
      </c>
      <c r="BU471" t="s">
        <v>1172</v>
      </c>
      <c r="BV471" t="s">
        <v>84</v>
      </c>
      <c r="BY471">
        <v>1200</v>
      </c>
      <c r="CA471" t="s">
        <v>571</v>
      </c>
      <c r="CC471" t="s">
        <v>142</v>
      </c>
      <c r="CD471">
        <v>6056</v>
      </c>
      <c r="CE471" t="s">
        <v>134</v>
      </c>
      <c r="CF471" s="3">
        <v>45996</v>
      </c>
      <c r="CI471">
        <v>1</v>
      </c>
      <c r="CJ471">
        <v>1</v>
      </c>
      <c r="CK471">
        <v>21</v>
      </c>
      <c r="CL471" t="s">
        <v>87</v>
      </c>
    </row>
    <row r="472" spans="1:90" x14ac:dyDescent="0.3">
      <c r="A472" t="s">
        <v>72</v>
      </c>
      <c r="B472" t="s">
        <v>73</v>
      </c>
      <c r="C472" t="s">
        <v>74</v>
      </c>
      <c r="E472" t="str">
        <f>"080069669044"</f>
        <v>080069669044</v>
      </c>
      <c r="F472" s="3">
        <v>45995</v>
      </c>
      <c r="G472">
        <v>202609</v>
      </c>
      <c r="H472" t="s">
        <v>75</v>
      </c>
      <c r="I472" t="s">
        <v>76</v>
      </c>
      <c r="J472" t="s">
        <v>77</v>
      </c>
      <c r="K472" t="s">
        <v>78</v>
      </c>
      <c r="L472" t="s">
        <v>535</v>
      </c>
      <c r="M472" t="s">
        <v>535</v>
      </c>
      <c r="N472" t="s">
        <v>772</v>
      </c>
      <c r="O472" t="s">
        <v>89</v>
      </c>
      <c r="P472" t="str">
        <f>"4170071577                    "</f>
        <v xml:space="preserve">4170071577                    </v>
      </c>
      <c r="Q472">
        <v>0</v>
      </c>
      <c r="R472">
        <v>0</v>
      </c>
      <c r="S472">
        <v>0</v>
      </c>
      <c r="T472">
        <v>0</v>
      </c>
      <c r="U472">
        <v>0</v>
      </c>
      <c r="V472">
        <v>0</v>
      </c>
      <c r="W472">
        <v>0</v>
      </c>
      <c r="X472">
        <v>0</v>
      </c>
      <c r="Y472">
        <v>0</v>
      </c>
      <c r="Z472">
        <v>0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0</v>
      </c>
      <c r="AJ472">
        <v>0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49.45</v>
      </c>
      <c r="AR472">
        <v>0</v>
      </c>
      <c r="AS472">
        <v>0</v>
      </c>
      <c r="AT472">
        <v>0</v>
      </c>
      <c r="AU472">
        <v>0</v>
      </c>
      <c r="AV472">
        <v>0</v>
      </c>
      <c r="AW472">
        <v>0</v>
      </c>
      <c r="AX472">
        <v>0</v>
      </c>
      <c r="AY472">
        <v>0</v>
      </c>
      <c r="AZ472">
        <v>0</v>
      </c>
      <c r="BA472">
        <v>0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1</v>
      </c>
      <c r="BI472">
        <v>1</v>
      </c>
      <c r="BJ472">
        <v>1.3</v>
      </c>
      <c r="BK472">
        <v>1.5</v>
      </c>
      <c r="BL472">
        <v>147.38</v>
      </c>
      <c r="BM472">
        <v>22.11</v>
      </c>
      <c r="BN472">
        <v>169.49</v>
      </c>
      <c r="BO472">
        <v>169.49</v>
      </c>
      <c r="BQ472" t="s">
        <v>773</v>
      </c>
      <c r="BR472" t="s">
        <v>82</v>
      </c>
      <c r="BS472" s="3">
        <v>45996</v>
      </c>
      <c r="BT472" s="4">
        <v>0.73888888888888893</v>
      </c>
      <c r="BU472" t="s">
        <v>1173</v>
      </c>
      <c r="BV472" t="s">
        <v>87</v>
      </c>
      <c r="BW472" t="s">
        <v>153</v>
      </c>
      <c r="BX472" t="s">
        <v>345</v>
      </c>
      <c r="BY472">
        <v>6612</v>
      </c>
      <c r="CA472" t="s">
        <v>539</v>
      </c>
      <c r="CC472" t="s">
        <v>535</v>
      </c>
      <c r="CD472">
        <v>7646</v>
      </c>
      <c r="CE472" t="s">
        <v>86</v>
      </c>
      <c r="CF472" s="3">
        <v>45999</v>
      </c>
      <c r="CI472">
        <v>1</v>
      </c>
      <c r="CJ472">
        <v>1</v>
      </c>
      <c r="CK472">
        <v>23</v>
      </c>
      <c r="CL472" t="s">
        <v>87</v>
      </c>
    </row>
    <row r="473" spans="1:90" x14ac:dyDescent="0.3">
      <c r="A473" t="s">
        <v>72</v>
      </c>
      <c r="B473" t="s">
        <v>73</v>
      </c>
      <c r="C473" t="s">
        <v>74</v>
      </c>
      <c r="E473" t="str">
        <f>"080069669048"</f>
        <v>080069669048</v>
      </c>
      <c r="F473" s="3">
        <v>45995</v>
      </c>
      <c r="G473">
        <v>202609</v>
      </c>
      <c r="H473" t="s">
        <v>75</v>
      </c>
      <c r="I473" t="s">
        <v>76</v>
      </c>
      <c r="J473" t="s">
        <v>77</v>
      </c>
      <c r="K473" t="s">
        <v>78</v>
      </c>
      <c r="L473" t="s">
        <v>208</v>
      </c>
      <c r="M473" t="s">
        <v>209</v>
      </c>
      <c r="N473" t="s">
        <v>1174</v>
      </c>
      <c r="O473" t="s">
        <v>89</v>
      </c>
      <c r="P473" t="str">
        <f>"4170071656                    "</f>
        <v xml:space="preserve">4170071656                    </v>
      </c>
      <c r="Q473">
        <v>0</v>
      </c>
      <c r="R473">
        <v>0</v>
      </c>
      <c r="S473">
        <v>0</v>
      </c>
      <c r="T473">
        <v>0</v>
      </c>
      <c r="U473">
        <v>0</v>
      </c>
      <c r="V473">
        <v>0</v>
      </c>
      <c r="W473">
        <v>0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0</v>
      </c>
      <c r="AD473">
        <v>0</v>
      </c>
      <c r="AE473">
        <v>0</v>
      </c>
      <c r="AF473">
        <v>0</v>
      </c>
      <c r="AG473">
        <v>0</v>
      </c>
      <c r="AH473">
        <v>0</v>
      </c>
      <c r="AI473">
        <v>0</v>
      </c>
      <c r="AJ473">
        <v>0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25.52</v>
      </c>
      <c r="AR473">
        <v>0</v>
      </c>
      <c r="AS473">
        <v>0</v>
      </c>
      <c r="AT473">
        <v>0</v>
      </c>
      <c r="AU473">
        <v>0</v>
      </c>
      <c r="AV473">
        <v>0</v>
      </c>
      <c r="AW473">
        <v>0</v>
      </c>
      <c r="AX473">
        <v>0</v>
      </c>
      <c r="AY473">
        <v>0</v>
      </c>
      <c r="AZ473">
        <v>0</v>
      </c>
      <c r="BA473">
        <v>0</v>
      </c>
      <c r="BB473">
        <v>0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1</v>
      </c>
      <c r="BI473">
        <v>0.2</v>
      </c>
      <c r="BJ473">
        <v>0.2</v>
      </c>
      <c r="BK473">
        <v>0.5</v>
      </c>
      <c r="BL473">
        <v>76.06</v>
      </c>
      <c r="BM473">
        <v>11.41</v>
      </c>
      <c r="BN473">
        <v>87.47</v>
      </c>
      <c r="BO473">
        <v>87.47</v>
      </c>
      <c r="BQ473" t="s">
        <v>1175</v>
      </c>
      <c r="BR473" t="s">
        <v>82</v>
      </c>
      <c r="BS473" s="3">
        <v>45996</v>
      </c>
      <c r="BT473" s="4">
        <v>0.37708333333333333</v>
      </c>
      <c r="BU473" t="s">
        <v>1176</v>
      </c>
      <c r="BV473" t="s">
        <v>84</v>
      </c>
      <c r="BY473">
        <v>1214.52</v>
      </c>
      <c r="CA473">
        <v>7104145194083</v>
      </c>
      <c r="CC473" t="s">
        <v>209</v>
      </c>
      <c r="CD473" s="5" t="s">
        <v>213</v>
      </c>
      <c r="CE473" t="s">
        <v>134</v>
      </c>
      <c r="CF473" s="3">
        <v>45996</v>
      </c>
      <c r="CI473">
        <v>1</v>
      </c>
      <c r="CJ473">
        <v>1</v>
      </c>
      <c r="CK473">
        <v>21</v>
      </c>
      <c r="CL473" t="s">
        <v>87</v>
      </c>
    </row>
    <row r="474" spans="1:90" x14ac:dyDescent="0.3">
      <c r="A474" t="s">
        <v>72</v>
      </c>
      <c r="B474" t="s">
        <v>73</v>
      </c>
      <c r="C474" t="s">
        <v>74</v>
      </c>
      <c r="E474" t="str">
        <f>"080069669060"</f>
        <v>080069669060</v>
      </c>
      <c r="F474" s="3">
        <v>45995</v>
      </c>
      <c r="G474">
        <v>202609</v>
      </c>
      <c r="H474" t="s">
        <v>75</v>
      </c>
      <c r="I474" t="s">
        <v>76</v>
      </c>
      <c r="J474" t="s">
        <v>77</v>
      </c>
      <c r="K474" t="s">
        <v>78</v>
      </c>
      <c r="L474" t="s">
        <v>208</v>
      </c>
      <c r="M474" t="s">
        <v>209</v>
      </c>
      <c r="N474" t="s">
        <v>1174</v>
      </c>
      <c r="O474" t="s">
        <v>89</v>
      </c>
      <c r="P474" t="str">
        <f>"4170071645                    "</f>
        <v xml:space="preserve">4170071645                    </v>
      </c>
      <c r="Q474">
        <v>0</v>
      </c>
      <c r="R474">
        <v>0</v>
      </c>
      <c r="S474">
        <v>0</v>
      </c>
      <c r="T474">
        <v>0</v>
      </c>
      <c r="U474">
        <v>0</v>
      </c>
      <c r="V474">
        <v>0</v>
      </c>
      <c r="W474">
        <v>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0</v>
      </c>
      <c r="AJ474">
        <v>0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25.52</v>
      </c>
      <c r="AR474">
        <v>0</v>
      </c>
      <c r="AS474">
        <v>0</v>
      </c>
      <c r="AT474">
        <v>0</v>
      </c>
      <c r="AU474">
        <v>0</v>
      </c>
      <c r="AV474">
        <v>0</v>
      </c>
      <c r="AW474">
        <v>0</v>
      </c>
      <c r="AX474">
        <v>0</v>
      </c>
      <c r="AY474">
        <v>0</v>
      </c>
      <c r="AZ474">
        <v>0</v>
      </c>
      <c r="BA474">
        <v>0</v>
      </c>
      <c r="BB474">
        <v>0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1</v>
      </c>
      <c r="BI474">
        <v>1</v>
      </c>
      <c r="BJ474">
        <v>0.2</v>
      </c>
      <c r="BK474">
        <v>1</v>
      </c>
      <c r="BL474">
        <v>76.06</v>
      </c>
      <c r="BM474">
        <v>11.41</v>
      </c>
      <c r="BN474">
        <v>87.47</v>
      </c>
      <c r="BO474">
        <v>87.47</v>
      </c>
      <c r="BQ474" t="s">
        <v>1175</v>
      </c>
      <c r="BR474" t="s">
        <v>82</v>
      </c>
      <c r="BS474" s="3">
        <v>45996</v>
      </c>
      <c r="BT474" s="4">
        <v>0.37708333333333333</v>
      </c>
      <c r="BU474" t="s">
        <v>1176</v>
      </c>
      <c r="BV474" t="s">
        <v>84</v>
      </c>
      <c r="BY474">
        <v>1200</v>
      </c>
      <c r="CA474">
        <v>7104145194083</v>
      </c>
      <c r="CC474" t="s">
        <v>209</v>
      </c>
      <c r="CD474" s="5" t="s">
        <v>213</v>
      </c>
      <c r="CE474" t="s">
        <v>134</v>
      </c>
      <c r="CF474" s="3">
        <v>45996</v>
      </c>
      <c r="CI474">
        <v>1</v>
      </c>
      <c r="CJ474">
        <v>1</v>
      </c>
      <c r="CK474">
        <v>21</v>
      </c>
      <c r="CL474" t="s">
        <v>87</v>
      </c>
    </row>
    <row r="475" spans="1:90" x14ac:dyDescent="0.3">
      <c r="A475" t="s">
        <v>72</v>
      </c>
      <c r="B475" t="s">
        <v>73</v>
      </c>
      <c r="C475" t="s">
        <v>74</v>
      </c>
      <c r="E475" t="str">
        <f>"080069669083"</f>
        <v>080069669083</v>
      </c>
      <c r="F475" s="3">
        <v>45995</v>
      </c>
      <c r="G475">
        <v>202609</v>
      </c>
      <c r="H475" t="s">
        <v>75</v>
      </c>
      <c r="I475" t="s">
        <v>76</v>
      </c>
      <c r="J475" t="s">
        <v>77</v>
      </c>
      <c r="K475" t="s">
        <v>78</v>
      </c>
      <c r="L475" t="s">
        <v>141</v>
      </c>
      <c r="M475" t="s">
        <v>142</v>
      </c>
      <c r="N475" t="s">
        <v>568</v>
      </c>
      <c r="O475" t="s">
        <v>89</v>
      </c>
      <c r="P475" t="str">
        <f>"4170071304                    "</f>
        <v xml:space="preserve">4170071304                    </v>
      </c>
      <c r="Q475">
        <v>0</v>
      </c>
      <c r="R475">
        <v>0</v>
      </c>
      <c r="S475">
        <v>0</v>
      </c>
      <c r="T475">
        <v>0</v>
      </c>
      <c r="U475">
        <v>0</v>
      </c>
      <c r="V475">
        <v>0</v>
      </c>
      <c r="W475">
        <v>0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0</v>
      </c>
      <c r="AD475">
        <v>0</v>
      </c>
      <c r="AE475">
        <v>0</v>
      </c>
      <c r="AF475">
        <v>0</v>
      </c>
      <c r="AG475">
        <v>0</v>
      </c>
      <c r="AH475">
        <v>0</v>
      </c>
      <c r="AI475">
        <v>0</v>
      </c>
      <c r="AJ475">
        <v>0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51.04</v>
      </c>
      <c r="AR475">
        <v>0</v>
      </c>
      <c r="AS475">
        <v>0</v>
      </c>
      <c r="AT475">
        <v>0</v>
      </c>
      <c r="AU475">
        <v>0</v>
      </c>
      <c r="AV475">
        <v>0</v>
      </c>
      <c r="AW475">
        <v>0</v>
      </c>
      <c r="AX475">
        <v>0</v>
      </c>
      <c r="AY475">
        <v>0</v>
      </c>
      <c r="AZ475">
        <v>0</v>
      </c>
      <c r="BA475">
        <v>0</v>
      </c>
      <c r="BB475">
        <v>0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1</v>
      </c>
      <c r="BI475">
        <v>2</v>
      </c>
      <c r="BJ475">
        <v>3.7</v>
      </c>
      <c r="BK475">
        <v>4</v>
      </c>
      <c r="BL475">
        <v>152.1</v>
      </c>
      <c r="BM475">
        <v>22.82</v>
      </c>
      <c r="BN475">
        <v>174.92</v>
      </c>
      <c r="BO475">
        <v>174.92</v>
      </c>
      <c r="BQ475" t="s">
        <v>569</v>
      </c>
      <c r="BR475" t="s">
        <v>82</v>
      </c>
      <c r="BS475" s="3">
        <v>45996</v>
      </c>
      <c r="BT475" s="4">
        <v>0.42708333333333331</v>
      </c>
      <c r="BU475" t="s">
        <v>1172</v>
      </c>
      <c r="BV475" t="s">
        <v>84</v>
      </c>
      <c r="BY475">
        <v>18304</v>
      </c>
      <c r="CA475" t="s">
        <v>571</v>
      </c>
      <c r="CC475" t="s">
        <v>142</v>
      </c>
      <c r="CD475">
        <v>6056</v>
      </c>
      <c r="CE475" t="s">
        <v>86</v>
      </c>
      <c r="CF475" s="3">
        <v>45996</v>
      </c>
      <c r="CI475">
        <v>1</v>
      </c>
      <c r="CJ475">
        <v>1</v>
      </c>
      <c r="CK475">
        <v>21</v>
      </c>
      <c r="CL475" t="s">
        <v>87</v>
      </c>
    </row>
    <row r="476" spans="1:90" x14ac:dyDescent="0.3">
      <c r="A476" t="s">
        <v>72</v>
      </c>
      <c r="B476" t="s">
        <v>73</v>
      </c>
      <c r="C476" t="s">
        <v>74</v>
      </c>
      <c r="E476" t="str">
        <f>"080069669089"</f>
        <v>080069669089</v>
      </c>
      <c r="F476" s="3">
        <v>45995</v>
      </c>
      <c r="G476">
        <v>202609</v>
      </c>
      <c r="H476" t="s">
        <v>75</v>
      </c>
      <c r="I476" t="s">
        <v>76</v>
      </c>
      <c r="J476" t="s">
        <v>77</v>
      </c>
      <c r="K476" t="s">
        <v>78</v>
      </c>
      <c r="L476" t="s">
        <v>100</v>
      </c>
      <c r="M476" t="s">
        <v>101</v>
      </c>
      <c r="N476" t="s">
        <v>1177</v>
      </c>
      <c r="O476" t="s">
        <v>89</v>
      </c>
      <c r="P476" t="str">
        <f>"4170071680                    "</f>
        <v xml:space="preserve">4170071680                    </v>
      </c>
      <c r="Q476">
        <v>0</v>
      </c>
      <c r="R476">
        <v>0</v>
      </c>
      <c r="S476">
        <v>0</v>
      </c>
      <c r="T476">
        <v>0</v>
      </c>
      <c r="U476">
        <v>0</v>
      </c>
      <c r="V476">
        <v>0</v>
      </c>
      <c r="W476">
        <v>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0</v>
      </c>
      <c r="AD476">
        <v>0</v>
      </c>
      <c r="AE476">
        <v>0</v>
      </c>
      <c r="AF476">
        <v>0</v>
      </c>
      <c r="AG476">
        <v>0</v>
      </c>
      <c r="AH476">
        <v>0</v>
      </c>
      <c r="AI476">
        <v>0</v>
      </c>
      <c r="AJ476">
        <v>0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25.52</v>
      </c>
      <c r="AR476">
        <v>0</v>
      </c>
      <c r="AS476">
        <v>0</v>
      </c>
      <c r="AT476">
        <v>0</v>
      </c>
      <c r="AU476">
        <v>0</v>
      </c>
      <c r="AV476">
        <v>0</v>
      </c>
      <c r="AW476">
        <v>0</v>
      </c>
      <c r="AX476">
        <v>0</v>
      </c>
      <c r="AY476">
        <v>0</v>
      </c>
      <c r="AZ476">
        <v>0</v>
      </c>
      <c r="BA476">
        <v>0</v>
      </c>
      <c r="BB476">
        <v>0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1</v>
      </c>
      <c r="BI476">
        <v>1</v>
      </c>
      <c r="BJ476">
        <v>0.2</v>
      </c>
      <c r="BK476">
        <v>1</v>
      </c>
      <c r="BL476">
        <v>76.06</v>
      </c>
      <c r="BM476">
        <v>11.41</v>
      </c>
      <c r="BN476">
        <v>87.47</v>
      </c>
      <c r="BO476">
        <v>87.47</v>
      </c>
      <c r="BQ476" t="s">
        <v>1178</v>
      </c>
      <c r="BR476" t="s">
        <v>82</v>
      </c>
      <c r="BS476" s="3">
        <v>45996</v>
      </c>
      <c r="BT476" s="4">
        <v>0.39166666666666666</v>
      </c>
      <c r="BU476" t="s">
        <v>1179</v>
      </c>
      <c r="BV476" t="s">
        <v>84</v>
      </c>
      <c r="BY476">
        <v>1200</v>
      </c>
      <c r="CA476" t="s">
        <v>1180</v>
      </c>
      <c r="CC476" t="s">
        <v>101</v>
      </c>
      <c r="CD476">
        <v>4001</v>
      </c>
      <c r="CE476" t="s">
        <v>134</v>
      </c>
      <c r="CF476" s="3">
        <v>45997</v>
      </c>
      <c r="CI476">
        <v>1</v>
      </c>
      <c r="CJ476">
        <v>1</v>
      </c>
      <c r="CK476">
        <v>21</v>
      </c>
      <c r="CL476" t="s">
        <v>87</v>
      </c>
    </row>
    <row r="477" spans="1:90" x14ac:dyDescent="0.3">
      <c r="A477" t="s">
        <v>72</v>
      </c>
      <c r="B477" t="s">
        <v>73</v>
      </c>
      <c r="C477" t="s">
        <v>74</v>
      </c>
      <c r="E477" t="str">
        <f>"080069669130"</f>
        <v>080069669130</v>
      </c>
      <c r="F477" s="3">
        <v>45995</v>
      </c>
      <c r="G477">
        <v>202609</v>
      </c>
      <c r="H477" t="s">
        <v>75</v>
      </c>
      <c r="I477" t="s">
        <v>76</v>
      </c>
      <c r="J477" t="s">
        <v>77</v>
      </c>
      <c r="K477" t="s">
        <v>78</v>
      </c>
      <c r="L477" t="s">
        <v>1181</v>
      </c>
      <c r="M477" t="s">
        <v>1182</v>
      </c>
      <c r="N477" t="s">
        <v>1183</v>
      </c>
      <c r="O477" t="s">
        <v>89</v>
      </c>
      <c r="P477" t="str">
        <f>"4170071613                    "</f>
        <v xml:space="preserve">4170071613                    </v>
      </c>
      <c r="Q477">
        <v>0</v>
      </c>
      <c r="R477">
        <v>0</v>
      </c>
      <c r="S477">
        <v>0</v>
      </c>
      <c r="T477">
        <v>0</v>
      </c>
      <c r="U477">
        <v>0</v>
      </c>
      <c r="V477">
        <v>0</v>
      </c>
      <c r="W477">
        <v>0</v>
      </c>
      <c r="X477">
        <v>0</v>
      </c>
      <c r="Y477">
        <v>0</v>
      </c>
      <c r="Z477">
        <v>0</v>
      </c>
      <c r="AA477">
        <v>0</v>
      </c>
      <c r="AB477">
        <v>0</v>
      </c>
      <c r="AC477">
        <v>0</v>
      </c>
      <c r="AD477">
        <v>0</v>
      </c>
      <c r="AE477">
        <v>0</v>
      </c>
      <c r="AF477">
        <v>0</v>
      </c>
      <c r="AG477">
        <v>0</v>
      </c>
      <c r="AH477">
        <v>0</v>
      </c>
      <c r="AI477">
        <v>0</v>
      </c>
      <c r="AJ477">
        <v>0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49.45</v>
      </c>
      <c r="AR477">
        <v>0</v>
      </c>
      <c r="AS477">
        <v>0</v>
      </c>
      <c r="AT477">
        <v>0</v>
      </c>
      <c r="AU477">
        <v>0</v>
      </c>
      <c r="AV477">
        <v>0</v>
      </c>
      <c r="AW477">
        <v>0</v>
      </c>
      <c r="AX477">
        <v>0</v>
      </c>
      <c r="AY477">
        <v>0</v>
      </c>
      <c r="AZ477">
        <v>0</v>
      </c>
      <c r="BA477">
        <v>0</v>
      </c>
      <c r="BB477">
        <v>0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1</v>
      </c>
      <c r="BI477">
        <v>0.8</v>
      </c>
      <c r="BJ477">
        <v>1.9</v>
      </c>
      <c r="BK477">
        <v>2</v>
      </c>
      <c r="BL477">
        <v>147.38</v>
      </c>
      <c r="BM477">
        <v>22.11</v>
      </c>
      <c r="BN477">
        <v>169.49</v>
      </c>
      <c r="BO477">
        <v>169.49</v>
      </c>
      <c r="BQ477" t="s">
        <v>1184</v>
      </c>
      <c r="BR477" t="s">
        <v>82</v>
      </c>
      <c r="BS477" s="3">
        <v>45999</v>
      </c>
      <c r="BT477" s="4">
        <v>0.76041666666666663</v>
      </c>
      <c r="BU477" t="s">
        <v>1185</v>
      </c>
      <c r="BV477" t="s">
        <v>87</v>
      </c>
      <c r="BW477" t="s">
        <v>622</v>
      </c>
      <c r="BX477" t="s">
        <v>1186</v>
      </c>
      <c r="BY477">
        <v>9343.8799999999992</v>
      </c>
      <c r="CA477" t="s">
        <v>1187</v>
      </c>
      <c r="CC477" t="s">
        <v>1182</v>
      </c>
      <c r="CD477">
        <v>2309</v>
      </c>
      <c r="CE477" t="s">
        <v>93</v>
      </c>
      <c r="CF477" s="3">
        <v>46000</v>
      </c>
      <c r="CI477">
        <v>1</v>
      </c>
      <c r="CJ477">
        <v>2</v>
      </c>
      <c r="CK477">
        <v>23</v>
      </c>
      <c r="CL477" t="s">
        <v>87</v>
      </c>
    </row>
    <row r="478" spans="1:90" x14ac:dyDescent="0.3">
      <c r="A478" t="s">
        <v>72</v>
      </c>
      <c r="B478" t="s">
        <v>73</v>
      </c>
      <c r="C478" t="s">
        <v>74</v>
      </c>
      <c r="E478" t="str">
        <f>"080069669206"</f>
        <v>080069669206</v>
      </c>
      <c r="F478" s="3">
        <v>45995</v>
      </c>
      <c r="G478">
        <v>202609</v>
      </c>
      <c r="H478" t="s">
        <v>75</v>
      </c>
      <c r="I478" t="s">
        <v>76</v>
      </c>
      <c r="J478" t="s">
        <v>77</v>
      </c>
      <c r="K478" t="s">
        <v>78</v>
      </c>
      <c r="L478" t="s">
        <v>94</v>
      </c>
      <c r="M478" t="s">
        <v>95</v>
      </c>
      <c r="N478" t="s">
        <v>1188</v>
      </c>
      <c r="O478" t="s">
        <v>89</v>
      </c>
      <c r="P478" t="str">
        <f>"4170071706                    "</f>
        <v xml:space="preserve">4170071706                    </v>
      </c>
      <c r="Q478">
        <v>0</v>
      </c>
      <c r="R478">
        <v>0</v>
      </c>
      <c r="S478">
        <v>0</v>
      </c>
      <c r="T478">
        <v>0</v>
      </c>
      <c r="U478">
        <v>0</v>
      </c>
      <c r="V478">
        <v>0</v>
      </c>
      <c r="W478">
        <v>0</v>
      </c>
      <c r="X478">
        <v>0</v>
      </c>
      <c r="Y478">
        <v>0</v>
      </c>
      <c r="Z478">
        <v>0</v>
      </c>
      <c r="AA478">
        <v>0</v>
      </c>
      <c r="AB478">
        <v>0</v>
      </c>
      <c r="AC478">
        <v>0</v>
      </c>
      <c r="AD478">
        <v>0</v>
      </c>
      <c r="AE478">
        <v>0</v>
      </c>
      <c r="AF478">
        <v>0</v>
      </c>
      <c r="AG478">
        <v>0</v>
      </c>
      <c r="AH478">
        <v>0</v>
      </c>
      <c r="AI478">
        <v>0</v>
      </c>
      <c r="AJ478">
        <v>0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25.52</v>
      </c>
      <c r="AR478">
        <v>0</v>
      </c>
      <c r="AS478">
        <v>0</v>
      </c>
      <c r="AT478">
        <v>0</v>
      </c>
      <c r="AU478">
        <v>0</v>
      </c>
      <c r="AV478">
        <v>0</v>
      </c>
      <c r="AW478">
        <v>0</v>
      </c>
      <c r="AX478">
        <v>0</v>
      </c>
      <c r="AY478">
        <v>0</v>
      </c>
      <c r="AZ478">
        <v>0</v>
      </c>
      <c r="BA478">
        <v>0</v>
      </c>
      <c r="BB478">
        <v>0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1</v>
      </c>
      <c r="BI478">
        <v>1</v>
      </c>
      <c r="BJ478">
        <v>1.1000000000000001</v>
      </c>
      <c r="BK478">
        <v>1.5</v>
      </c>
      <c r="BL478">
        <v>76.06</v>
      </c>
      <c r="BM478">
        <v>11.41</v>
      </c>
      <c r="BN478">
        <v>87.47</v>
      </c>
      <c r="BO478">
        <v>87.47</v>
      </c>
      <c r="BQ478" t="s">
        <v>1189</v>
      </c>
      <c r="BR478" t="s">
        <v>82</v>
      </c>
      <c r="BS478" s="3">
        <v>45996</v>
      </c>
      <c r="BT478" s="4">
        <v>0.46666666666666667</v>
      </c>
      <c r="BU478" t="s">
        <v>1190</v>
      </c>
      <c r="BV478" t="s">
        <v>84</v>
      </c>
      <c r="BY478">
        <v>5510</v>
      </c>
      <c r="CA478" t="s">
        <v>1191</v>
      </c>
      <c r="CC478" t="s">
        <v>95</v>
      </c>
      <c r="CD478">
        <v>3610</v>
      </c>
      <c r="CE478" t="s">
        <v>86</v>
      </c>
      <c r="CF478" s="3">
        <v>45997</v>
      </c>
      <c r="CI478">
        <v>1</v>
      </c>
      <c r="CJ478">
        <v>1</v>
      </c>
      <c r="CK478">
        <v>21</v>
      </c>
      <c r="CL478" t="s">
        <v>87</v>
      </c>
    </row>
    <row r="479" spans="1:90" x14ac:dyDescent="0.3">
      <c r="A479" t="s">
        <v>72</v>
      </c>
      <c r="B479" t="s">
        <v>73</v>
      </c>
      <c r="C479" t="s">
        <v>74</v>
      </c>
      <c r="E479" t="str">
        <f>"080069669348"</f>
        <v>080069669348</v>
      </c>
      <c r="F479" s="3">
        <v>45995</v>
      </c>
      <c r="G479">
        <v>202609</v>
      </c>
      <c r="H479" t="s">
        <v>75</v>
      </c>
      <c r="I479" t="s">
        <v>76</v>
      </c>
      <c r="J479" t="s">
        <v>77</v>
      </c>
      <c r="K479" t="s">
        <v>78</v>
      </c>
      <c r="L479" t="s">
        <v>141</v>
      </c>
      <c r="M479" t="s">
        <v>142</v>
      </c>
      <c r="N479" t="s">
        <v>618</v>
      </c>
      <c r="O479" t="s">
        <v>89</v>
      </c>
      <c r="P479" t="str">
        <f>"4170071658                    "</f>
        <v xml:space="preserve">4170071658                    </v>
      </c>
      <c r="Q479">
        <v>0</v>
      </c>
      <c r="R479">
        <v>0</v>
      </c>
      <c r="S479">
        <v>0</v>
      </c>
      <c r="T479">
        <v>0</v>
      </c>
      <c r="U479">
        <v>0</v>
      </c>
      <c r="V479">
        <v>0</v>
      </c>
      <c r="W479">
        <v>0</v>
      </c>
      <c r="X479">
        <v>0</v>
      </c>
      <c r="Y479">
        <v>0</v>
      </c>
      <c r="Z479">
        <v>0</v>
      </c>
      <c r="AA479">
        <v>0</v>
      </c>
      <c r="AB479">
        <v>0</v>
      </c>
      <c r="AC479">
        <v>0</v>
      </c>
      <c r="AD479">
        <v>0</v>
      </c>
      <c r="AE479">
        <v>0</v>
      </c>
      <c r="AF479">
        <v>0</v>
      </c>
      <c r="AG479">
        <v>0</v>
      </c>
      <c r="AH479">
        <v>0</v>
      </c>
      <c r="AI479">
        <v>0</v>
      </c>
      <c r="AJ479">
        <v>0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121.19</v>
      </c>
      <c r="AR479">
        <v>0</v>
      </c>
      <c r="AS479">
        <v>0</v>
      </c>
      <c r="AT479">
        <v>0</v>
      </c>
      <c r="AU479">
        <v>0</v>
      </c>
      <c r="AV479">
        <v>0</v>
      </c>
      <c r="AW479">
        <v>0</v>
      </c>
      <c r="AX479">
        <v>0</v>
      </c>
      <c r="AY479">
        <v>0</v>
      </c>
      <c r="AZ479">
        <v>0</v>
      </c>
      <c r="BA479">
        <v>0</v>
      </c>
      <c r="BB479">
        <v>0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1</v>
      </c>
      <c r="BI479">
        <v>8</v>
      </c>
      <c r="BJ479">
        <v>9.1</v>
      </c>
      <c r="BK479">
        <v>9.5</v>
      </c>
      <c r="BL479">
        <v>361.18</v>
      </c>
      <c r="BM479">
        <v>54.18</v>
      </c>
      <c r="BN479">
        <v>415.36</v>
      </c>
      <c r="BO479">
        <v>415.36</v>
      </c>
      <c r="BQ479" t="s">
        <v>619</v>
      </c>
      <c r="BR479" t="s">
        <v>82</v>
      </c>
      <c r="BS479" s="3">
        <v>45996</v>
      </c>
      <c r="BT479" s="4">
        <v>0.4284722222222222</v>
      </c>
      <c r="BU479" t="s">
        <v>1192</v>
      </c>
      <c r="BV479" t="s">
        <v>84</v>
      </c>
      <c r="BY479">
        <v>45632</v>
      </c>
      <c r="CA479" t="s">
        <v>277</v>
      </c>
      <c r="CC479" t="s">
        <v>142</v>
      </c>
      <c r="CD479">
        <v>6001</v>
      </c>
      <c r="CE479" t="s">
        <v>86</v>
      </c>
      <c r="CF479" s="3">
        <v>45996</v>
      </c>
      <c r="CI479">
        <v>1</v>
      </c>
      <c r="CJ479">
        <v>1</v>
      </c>
      <c r="CK479">
        <v>21</v>
      </c>
      <c r="CL479" t="s">
        <v>87</v>
      </c>
    </row>
    <row r="480" spans="1:90" x14ac:dyDescent="0.3">
      <c r="A480" t="s">
        <v>72</v>
      </c>
      <c r="B480" t="s">
        <v>73</v>
      </c>
      <c r="C480" t="s">
        <v>74</v>
      </c>
      <c r="E480" t="str">
        <f>"080069669373"</f>
        <v>080069669373</v>
      </c>
      <c r="F480" s="3">
        <v>45995</v>
      </c>
      <c r="G480">
        <v>202609</v>
      </c>
      <c r="H480" t="s">
        <v>75</v>
      </c>
      <c r="I480" t="s">
        <v>76</v>
      </c>
      <c r="J480" t="s">
        <v>77</v>
      </c>
      <c r="K480" t="s">
        <v>78</v>
      </c>
      <c r="L480" t="s">
        <v>899</v>
      </c>
      <c r="M480" t="s">
        <v>900</v>
      </c>
      <c r="N480" t="s">
        <v>901</v>
      </c>
      <c r="O480" t="s">
        <v>89</v>
      </c>
      <c r="P480" t="str">
        <f>"4170071696                    "</f>
        <v xml:space="preserve">4170071696                    </v>
      </c>
      <c r="Q480">
        <v>0</v>
      </c>
      <c r="R480">
        <v>0</v>
      </c>
      <c r="S480">
        <v>0</v>
      </c>
      <c r="T480">
        <v>0</v>
      </c>
      <c r="U480">
        <v>0</v>
      </c>
      <c r="V480">
        <v>0</v>
      </c>
      <c r="W480">
        <v>0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0</v>
      </c>
      <c r="AD480">
        <v>0</v>
      </c>
      <c r="AE480">
        <v>0</v>
      </c>
      <c r="AF480">
        <v>0</v>
      </c>
      <c r="AG480">
        <v>0</v>
      </c>
      <c r="AH480">
        <v>0</v>
      </c>
      <c r="AI480">
        <v>0</v>
      </c>
      <c r="AJ480">
        <v>0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149.54</v>
      </c>
      <c r="AR480">
        <v>0</v>
      </c>
      <c r="AS480">
        <v>0</v>
      </c>
      <c r="AT480">
        <v>0</v>
      </c>
      <c r="AU480">
        <v>0</v>
      </c>
      <c r="AV480">
        <v>0</v>
      </c>
      <c r="AW480">
        <v>0</v>
      </c>
      <c r="AX480">
        <v>0</v>
      </c>
      <c r="AY480">
        <v>0</v>
      </c>
      <c r="AZ480">
        <v>0</v>
      </c>
      <c r="BA480">
        <v>0</v>
      </c>
      <c r="BB480">
        <v>0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1</v>
      </c>
      <c r="BI480">
        <v>2.9</v>
      </c>
      <c r="BJ480">
        <v>8.1</v>
      </c>
      <c r="BK480">
        <v>8.5</v>
      </c>
      <c r="BL480">
        <v>445.65</v>
      </c>
      <c r="BM480">
        <v>66.849999999999994</v>
      </c>
      <c r="BN480">
        <v>512.5</v>
      </c>
      <c r="BO480">
        <v>512.5</v>
      </c>
      <c r="BQ480" t="s">
        <v>902</v>
      </c>
      <c r="BR480" t="s">
        <v>82</v>
      </c>
      <c r="BS480" s="3">
        <v>45996</v>
      </c>
      <c r="BT480" s="4">
        <v>0.41458333333333336</v>
      </c>
      <c r="BU480" t="s">
        <v>903</v>
      </c>
      <c r="BV480" t="s">
        <v>84</v>
      </c>
      <c r="BY480">
        <v>40680</v>
      </c>
      <c r="CA480" t="s">
        <v>904</v>
      </c>
      <c r="CC480" t="s">
        <v>900</v>
      </c>
      <c r="CD480">
        <v>2410</v>
      </c>
      <c r="CE480" t="s">
        <v>93</v>
      </c>
      <c r="CF480" s="3">
        <v>45997</v>
      </c>
      <c r="CI480">
        <v>1</v>
      </c>
      <c r="CJ480">
        <v>1</v>
      </c>
      <c r="CK480">
        <v>24</v>
      </c>
      <c r="CL480" t="s">
        <v>87</v>
      </c>
    </row>
    <row r="481" spans="1:90" x14ac:dyDescent="0.3">
      <c r="A481" t="s">
        <v>72</v>
      </c>
      <c r="B481" t="s">
        <v>73</v>
      </c>
      <c r="C481" t="s">
        <v>74</v>
      </c>
      <c r="E481" t="str">
        <f>"080069669410"</f>
        <v>080069669410</v>
      </c>
      <c r="F481" s="3">
        <v>45995</v>
      </c>
      <c r="G481">
        <v>202609</v>
      </c>
      <c r="H481" t="s">
        <v>75</v>
      </c>
      <c r="I481" t="s">
        <v>76</v>
      </c>
      <c r="J481" t="s">
        <v>77</v>
      </c>
      <c r="K481" t="s">
        <v>78</v>
      </c>
      <c r="L481" t="s">
        <v>156</v>
      </c>
      <c r="M481" t="s">
        <v>157</v>
      </c>
      <c r="N481" t="s">
        <v>434</v>
      </c>
      <c r="O481" t="s">
        <v>89</v>
      </c>
      <c r="P481" t="str">
        <f>"4170071705                    "</f>
        <v xml:space="preserve">4170071705                    </v>
      </c>
      <c r="Q481">
        <v>0</v>
      </c>
      <c r="R481">
        <v>0</v>
      </c>
      <c r="S481">
        <v>0</v>
      </c>
      <c r="T481">
        <v>0</v>
      </c>
      <c r="U481">
        <v>0</v>
      </c>
      <c r="V481">
        <v>0</v>
      </c>
      <c r="W481">
        <v>0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0</v>
      </c>
      <c r="AD481">
        <v>0</v>
      </c>
      <c r="AE481">
        <v>0</v>
      </c>
      <c r="AF481">
        <v>0</v>
      </c>
      <c r="AG481">
        <v>0</v>
      </c>
      <c r="AH481">
        <v>0</v>
      </c>
      <c r="AI481">
        <v>0</v>
      </c>
      <c r="AJ481">
        <v>0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63.79</v>
      </c>
      <c r="AR481">
        <v>0</v>
      </c>
      <c r="AS481">
        <v>0</v>
      </c>
      <c r="AT481">
        <v>0</v>
      </c>
      <c r="AU481">
        <v>0</v>
      </c>
      <c r="AV481">
        <v>0</v>
      </c>
      <c r="AW481">
        <v>0</v>
      </c>
      <c r="AX481">
        <v>0</v>
      </c>
      <c r="AY481">
        <v>0</v>
      </c>
      <c r="AZ481">
        <v>0</v>
      </c>
      <c r="BA481">
        <v>0</v>
      </c>
      <c r="BB481">
        <v>0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1</v>
      </c>
      <c r="BI481">
        <v>5</v>
      </c>
      <c r="BJ481">
        <v>3.4</v>
      </c>
      <c r="BK481">
        <v>5</v>
      </c>
      <c r="BL481">
        <v>190.11</v>
      </c>
      <c r="BM481">
        <v>28.52</v>
      </c>
      <c r="BN481">
        <v>218.63</v>
      </c>
      <c r="BO481">
        <v>218.63</v>
      </c>
      <c r="BQ481" t="s">
        <v>435</v>
      </c>
      <c r="BR481" t="s">
        <v>82</v>
      </c>
      <c r="BS481" s="3">
        <v>45996</v>
      </c>
      <c r="BT481" s="4">
        <v>0.39583333333333331</v>
      </c>
      <c r="BU481" t="s">
        <v>1193</v>
      </c>
      <c r="BV481" t="s">
        <v>84</v>
      </c>
      <c r="BY481">
        <v>17028</v>
      </c>
      <c r="CA481" t="s">
        <v>264</v>
      </c>
      <c r="CC481" t="s">
        <v>157</v>
      </c>
      <c r="CD481">
        <v>7441</v>
      </c>
      <c r="CE481" t="s">
        <v>93</v>
      </c>
      <c r="CF481" s="3">
        <v>45999</v>
      </c>
      <c r="CI481">
        <v>1</v>
      </c>
      <c r="CJ481">
        <v>1</v>
      </c>
      <c r="CK481">
        <v>21</v>
      </c>
      <c r="CL481" t="s">
        <v>87</v>
      </c>
    </row>
    <row r="482" spans="1:90" x14ac:dyDescent="0.3">
      <c r="A482" t="s">
        <v>72</v>
      </c>
      <c r="B482" t="s">
        <v>73</v>
      </c>
      <c r="C482" t="s">
        <v>74</v>
      </c>
      <c r="E482" t="str">
        <f>"080069669442"</f>
        <v>080069669442</v>
      </c>
      <c r="F482" s="3">
        <v>45995</v>
      </c>
      <c r="G482">
        <v>202609</v>
      </c>
      <c r="H482" t="s">
        <v>75</v>
      </c>
      <c r="I482" t="s">
        <v>76</v>
      </c>
      <c r="J482" t="s">
        <v>77</v>
      </c>
      <c r="K482" t="s">
        <v>78</v>
      </c>
      <c r="L482" t="s">
        <v>156</v>
      </c>
      <c r="M482" t="s">
        <v>157</v>
      </c>
      <c r="N482" t="s">
        <v>443</v>
      </c>
      <c r="O482" t="s">
        <v>89</v>
      </c>
      <c r="P482" t="str">
        <f>"4170071662                    "</f>
        <v xml:space="preserve">4170071662                    </v>
      </c>
      <c r="Q482">
        <v>0</v>
      </c>
      <c r="R482">
        <v>0</v>
      </c>
      <c r="S482">
        <v>0</v>
      </c>
      <c r="T482">
        <v>0</v>
      </c>
      <c r="U482">
        <v>0</v>
      </c>
      <c r="V482">
        <v>0</v>
      </c>
      <c r="W482">
        <v>0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0</v>
      </c>
      <c r="AD482">
        <v>0</v>
      </c>
      <c r="AE482">
        <v>0</v>
      </c>
      <c r="AF482">
        <v>0</v>
      </c>
      <c r="AG482">
        <v>0</v>
      </c>
      <c r="AH482">
        <v>0</v>
      </c>
      <c r="AI482">
        <v>0</v>
      </c>
      <c r="AJ482">
        <v>0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38.28</v>
      </c>
      <c r="AR482">
        <v>0</v>
      </c>
      <c r="AS482">
        <v>0</v>
      </c>
      <c r="AT482">
        <v>0</v>
      </c>
      <c r="AU482">
        <v>0</v>
      </c>
      <c r="AV482">
        <v>0</v>
      </c>
      <c r="AW482">
        <v>0</v>
      </c>
      <c r="AX482">
        <v>0</v>
      </c>
      <c r="AY482">
        <v>0</v>
      </c>
      <c r="AZ482">
        <v>0</v>
      </c>
      <c r="BA482">
        <v>0</v>
      </c>
      <c r="BB482">
        <v>0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1</v>
      </c>
      <c r="BI482">
        <v>3</v>
      </c>
      <c r="BJ482">
        <v>2.7</v>
      </c>
      <c r="BK482">
        <v>3</v>
      </c>
      <c r="BL482">
        <v>114.08</v>
      </c>
      <c r="BM482">
        <v>17.11</v>
      </c>
      <c r="BN482">
        <v>131.19</v>
      </c>
      <c r="BO482">
        <v>131.19</v>
      </c>
      <c r="BQ482" t="s">
        <v>444</v>
      </c>
      <c r="BR482" t="s">
        <v>82</v>
      </c>
      <c r="BS482" s="3">
        <v>45996</v>
      </c>
      <c r="BT482" s="4">
        <v>0.40277777777777779</v>
      </c>
      <c r="BU482" t="s">
        <v>1194</v>
      </c>
      <c r="BV482" t="s">
        <v>84</v>
      </c>
      <c r="BY482">
        <v>13442</v>
      </c>
      <c r="CA482" t="s">
        <v>346</v>
      </c>
      <c r="CC482" t="s">
        <v>157</v>
      </c>
      <c r="CD482">
        <v>7530</v>
      </c>
      <c r="CE482" t="s">
        <v>93</v>
      </c>
      <c r="CF482" s="3">
        <v>45999</v>
      </c>
      <c r="CI482">
        <v>1</v>
      </c>
      <c r="CJ482">
        <v>1</v>
      </c>
      <c r="CK482">
        <v>21</v>
      </c>
      <c r="CL482" t="s">
        <v>87</v>
      </c>
    </row>
    <row r="483" spans="1:90" x14ac:dyDescent="0.3">
      <c r="A483" t="s">
        <v>72</v>
      </c>
      <c r="B483" t="s">
        <v>73</v>
      </c>
      <c r="C483" t="s">
        <v>74</v>
      </c>
      <c r="E483" t="str">
        <f>"080069669508"</f>
        <v>080069669508</v>
      </c>
      <c r="F483" s="3">
        <v>45995</v>
      </c>
      <c r="G483">
        <v>202609</v>
      </c>
      <c r="H483" t="s">
        <v>75</v>
      </c>
      <c r="I483" t="s">
        <v>76</v>
      </c>
      <c r="J483" t="s">
        <v>77</v>
      </c>
      <c r="K483" t="s">
        <v>78</v>
      </c>
      <c r="L483" t="s">
        <v>302</v>
      </c>
      <c r="M483" t="s">
        <v>303</v>
      </c>
      <c r="N483" t="s">
        <v>651</v>
      </c>
      <c r="O483" t="s">
        <v>89</v>
      </c>
      <c r="P483" t="str">
        <f>"4170071713                    "</f>
        <v xml:space="preserve">4170071713                    </v>
      </c>
      <c r="Q483">
        <v>0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0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0</v>
      </c>
      <c r="AD483">
        <v>0</v>
      </c>
      <c r="AE483">
        <v>0</v>
      </c>
      <c r="AF483">
        <v>0</v>
      </c>
      <c r="AG483">
        <v>0</v>
      </c>
      <c r="AH483">
        <v>0</v>
      </c>
      <c r="AI483">
        <v>0</v>
      </c>
      <c r="AJ483">
        <v>0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25.52</v>
      </c>
      <c r="AR483">
        <v>0</v>
      </c>
      <c r="AS483">
        <v>0</v>
      </c>
      <c r="AT483">
        <v>0</v>
      </c>
      <c r="AU483">
        <v>0</v>
      </c>
      <c r="AV483">
        <v>0</v>
      </c>
      <c r="AW483">
        <v>0</v>
      </c>
      <c r="AX483">
        <v>0</v>
      </c>
      <c r="AY483">
        <v>0</v>
      </c>
      <c r="AZ483">
        <v>0</v>
      </c>
      <c r="BA483">
        <v>0</v>
      </c>
      <c r="BB483">
        <v>0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1</v>
      </c>
      <c r="BI483">
        <v>1</v>
      </c>
      <c r="BJ483">
        <v>0.9</v>
      </c>
      <c r="BK483">
        <v>1</v>
      </c>
      <c r="BL483">
        <v>76.06</v>
      </c>
      <c r="BM483">
        <v>11.41</v>
      </c>
      <c r="BN483">
        <v>87.47</v>
      </c>
      <c r="BO483">
        <v>87.47</v>
      </c>
      <c r="BQ483" t="s">
        <v>652</v>
      </c>
      <c r="BR483" t="s">
        <v>82</v>
      </c>
      <c r="BS483" s="3">
        <v>45996</v>
      </c>
      <c r="BT483" s="4">
        <v>0.40555555555555556</v>
      </c>
      <c r="BU483" t="s">
        <v>653</v>
      </c>
      <c r="BV483" t="s">
        <v>84</v>
      </c>
      <c r="BY483">
        <v>4275</v>
      </c>
      <c r="CA483">
        <v>8303236124087</v>
      </c>
      <c r="CC483" t="s">
        <v>303</v>
      </c>
      <c r="CD483" s="5" t="s">
        <v>307</v>
      </c>
      <c r="CE483" t="s">
        <v>86</v>
      </c>
      <c r="CF483" s="3">
        <v>45996</v>
      </c>
      <c r="CI483">
        <v>1</v>
      </c>
      <c r="CJ483">
        <v>1</v>
      </c>
      <c r="CK483">
        <v>21</v>
      </c>
      <c r="CL483" t="s">
        <v>87</v>
      </c>
    </row>
    <row r="484" spans="1:90" x14ac:dyDescent="0.3">
      <c r="A484" t="s">
        <v>72</v>
      </c>
      <c r="B484" t="s">
        <v>73</v>
      </c>
      <c r="C484" t="s">
        <v>74</v>
      </c>
      <c r="E484" t="str">
        <f>"080069670948"</f>
        <v>080069670948</v>
      </c>
      <c r="F484" s="3">
        <v>45995</v>
      </c>
      <c r="G484">
        <v>202609</v>
      </c>
      <c r="H484" t="s">
        <v>75</v>
      </c>
      <c r="I484" t="s">
        <v>76</v>
      </c>
      <c r="J484" t="s">
        <v>77</v>
      </c>
      <c r="K484" t="s">
        <v>78</v>
      </c>
      <c r="L484" t="s">
        <v>265</v>
      </c>
      <c r="M484" t="s">
        <v>266</v>
      </c>
      <c r="N484" t="s">
        <v>1146</v>
      </c>
      <c r="O484" t="s">
        <v>89</v>
      </c>
      <c r="P484" t="str">
        <f>"4170071905                    "</f>
        <v xml:space="preserve">4170071905                    </v>
      </c>
      <c r="Q484">
        <v>0</v>
      </c>
      <c r="R484">
        <v>0</v>
      </c>
      <c r="S484">
        <v>0</v>
      </c>
      <c r="T484">
        <v>0</v>
      </c>
      <c r="U484">
        <v>0</v>
      </c>
      <c r="V484">
        <v>0</v>
      </c>
      <c r="W484">
        <v>0</v>
      </c>
      <c r="X484">
        <v>0</v>
      </c>
      <c r="Y484">
        <v>0</v>
      </c>
      <c r="Z484">
        <v>0</v>
      </c>
      <c r="AA484">
        <v>0</v>
      </c>
      <c r="AB484">
        <v>0</v>
      </c>
      <c r="AC484">
        <v>0</v>
      </c>
      <c r="AD484">
        <v>0</v>
      </c>
      <c r="AE484">
        <v>0</v>
      </c>
      <c r="AF484">
        <v>0</v>
      </c>
      <c r="AG484">
        <v>0</v>
      </c>
      <c r="AH484">
        <v>0</v>
      </c>
      <c r="AI484">
        <v>0</v>
      </c>
      <c r="AJ484">
        <v>0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19.940000000000001</v>
      </c>
      <c r="AR484">
        <v>0</v>
      </c>
      <c r="AS484">
        <v>0</v>
      </c>
      <c r="AT484">
        <v>0</v>
      </c>
      <c r="AU484">
        <v>0</v>
      </c>
      <c r="AV484">
        <v>0</v>
      </c>
      <c r="AW484">
        <v>0</v>
      </c>
      <c r="AX484">
        <v>0</v>
      </c>
      <c r="AY484">
        <v>0</v>
      </c>
      <c r="AZ484">
        <v>0</v>
      </c>
      <c r="BA484">
        <v>0</v>
      </c>
      <c r="BB484">
        <v>0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1</v>
      </c>
      <c r="BI484">
        <v>0.2</v>
      </c>
      <c r="BJ484">
        <v>1.5</v>
      </c>
      <c r="BK484">
        <v>2</v>
      </c>
      <c r="BL484">
        <v>59.42</v>
      </c>
      <c r="BM484">
        <v>8.91</v>
      </c>
      <c r="BN484">
        <v>68.33</v>
      </c>
      <c r="BO484">
        <v>68.33</v>
      </c>
      <c r="BQ484" t="s">
        <v>1147</v>
      </c>
      <c r="BR484" t="s">
        <v>82</v>
      </c>
      <c r="BS484" s="3">
        <v>45996</v>
      </c>
      <c r="BT484" s="4">
        <v>0.32708333333333334</v>
      </c>
      <c r="BU484" t="s">
        <v>1195</v>
      </c>
      <c r="BV484" t="s">
        <v>84</v>
      </c>
      <c r="BY484">
        <v>7331.25</v>
      </c>
      <c r="CA484" t="s">
        <v>417</v>
      </c>
      <c r="CC484" t="s">
        <v>266</v>
      </c>
      <c r="CD484">
        <v>1460</v>
      </c>
      <c r="CE484" t="s">
        <v>134</v>
      </c>
      <c r="CF484" s="3">
        <v>45996</v>
      </c>
      <c r="CI484">
        <v>1</v>
      </c>
      <c r="CJ484">
        <v>1</v>
      </c>
      <c r="CK484">
        <v>22</v>
      </c>
      <c r="CL484" t="s">
        <v>87</v>
      </c>
    </row>
    <row r="485" spans="1:90" x14ac:dyDescent="0.3">
      <c r="A485" t="s">
        <v>72</v>
      </c>
      <c r="B485" t="s">
        <v>73</v>
      </c>
      <c r="C485" t="s">
        <v>74</v>
      </c>
      <c r="E485" t="str">
        <f>"080069670977"</f>
        <v>080069670977</v>
      </c>
      <c r="F485" s="3">
        <v>45995</v>
      </c>
      <c r="G485">
        <v>202609</v>
      </c>
      <c r="H485" t="s">
        <v>75</v>
      </c>
      <c r="I485" t="s">
        <v>76</v>
      </c>
      <c r="J485" t="s">
        <v>77</v>
      </c>
      <c r="K485" t="s">
        <v>78</v>
      </c>
      <c r="L485" t="s">
        <v>141</v>
      </c>
      <c r="M485" t="s">
        <v>142</v>
      </c>
      <c r="N485" t="s">
        <v>486</v>
      </c>
      <c r="O485" t="s">
        <v>89</v>
      </c>
      <c r="P485" t="str">
        <f>"4170071762                    "</f>
        <v xml:space="preserve">4170071762                    </v>
      </c>
      <c r="Q485">
        <v>0</v>
      </c>
      <c r="R485">
        <v>0</v>
      </c>
      <c r="S485">
        <v>0</v>
      </c>
      <c r="T485">
        <v>0</v>
      </c>
      <c r="U485">
        <v>0</v>
      </c>
      <c r="V485">
        <v>0</v>
      </c>
      <c r="W485">
        <v>0</v>
      </c>
      <c r="X485">
        <v>0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0</v>
      </c>
      <c r="AE485">
        <v>0</v>
      </c>
      <c r="AF485">
        <v>0</v>
      </c>
      <c r="AG485">
        <v>0</v>
      </c>
      <c r="AH485">
        <v>0</v>
      </c>
      <c r="AI485">
        <v>0</v>
      </c>
      <c r="AJ485">
        <v>0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25.52</v>
      </c>
      <c r="AR485">
        <v>0</v>
      </c>
      <c r="AS485">
        <v>0</v>
      </c>
      <c r="AT485">
        <v>0</v>
      </c>
      <c r="AU485">
        <v>0</v>
      </c>
      <c r="AV485">
        <v>0</v>
      </c>
      <c r="AW485">
        <v>0</v>
      </c>
      <c r="AX485">
        <v>0</v>
      </c>
      <c r="AY485">
        <v>0</v>
      </c>
      <c r="AZ485">
        <v>0</v>
      </c>
      <c r="BA485">
        <v>0</v>
      </c>
      <c r="BB485">
        <v>0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1</v>
      </c>
      <c r="BI485">
        <v>1</v>
      </c>
      <c r="BJ485">
        <v>0.2</v>
      </c>
      <c r="BK485">
        <v>1</v>
      </c>
      <c r="BL485">
        <v>76.06</v>
      </c>
      <c r="BM485">
        <v>11.41</v>
      </c>
      <c r="BN485">
        <v>87.47</v>
      </c>
      <c r="BO485">
        <v>87.47</v>
      </c>
      <c r="BQ485" t="s">
        <v>487</v>
      </c>
      <c r="BR485" t="s">
        <v>82</v>
      </c>
      <c r="BS485" t="s">
        <v>500</v>
      </c>
      <c r="BY485">
        <v>1200</v>
      </c>
      <c r="CC485" t="s">
        <v>142</v>
      </c>
      <c r="CD485">
        <v>6012</v>
      </c>
      <c r="CE485" t="s">
        <v>134</v>
      </c>
      <c r="CI485">
        <v>1</v>
      </c>
      <c r="CJ485" t="s">
        <v>500</v>
      </c>
      <c r="CK485">
        <v>21</v>
      </c>
      <c r="CL485" t="s">
        <v>87</v>
      </c>
    </row>
    <row r="486" spans="1:90" x14ac:dyDescent="0.3">
      <c r="A486" t="s">
        <v>72</v>
      </c>
      <c r="B486" t="s">
        <v>73</v>
      </c>
      <c r="C486" t="s">
        <v>74</v>
      </c>
      <c r="E486" t="str">
        <f>"080069671001"</f>
        <v>080069671001</v>
      </c>
      <c r="F486" s="3">
        <v>45995</v>
      </c>
      <c r="G486">
        <v>202609</v>
      </c>
      <c r="H486" t="s">
        <v>75</v>
      </c>
      <c r="I486" t="s">
        <v>76</v>
      </c>
      <c r="J486" t="s">
        <v>77</v>
      </c>
      <c r="K486" t="s">
        <v>78</v>
      </c>
      <c r="L486" t="s">
        <v>94</v>
      </c>
      <c r="M486" t="s">
        <v>95</v>
      </c>
      <c r="N486" t="s">
        <v>1077</v>
      </c>
      <c r="O486" t="s">
        <v>89</v>
      </c>
      <c r="P486" t="str">
        <f>"4170071689                    "</f>
        <v xml:space="preserve">4170071689                    </v>
      </c>
      <c r="Q486">
        <v>0</v>
      </c>
      <c r="R486">
        <v>0</v>
      </c>
      <c r="S486">
        <v>0</v>
      </c>
      <c r="T486">
        <v>0</v>
      </c>
      <c r="U486">
        <v>0</v>
      </c>
      <c r="V486">
        <v>0</v>
      </c>
      <c r="W486">
        <v>0</v>
      </c>
      <c r="X486">
        <v>0</v>
      </c>
      <c r="Y486">
        <v>0</v>
      </c>
      <c r="Z486">
        <v>0</v>
      </c>
      <c r="AA486">
        <v>0</v>
      </c>
      <c r="AB486">
        <v>0</v>
      </c>
      <c r="AC486">
        <v>0</v>
      </c>
      <c r="AD486">
        <v>0</v>
      </c>
      <c r="AE486">
        <v>0</v>
      </c>
      <c r="AF486">
        <v>0</v>
      </c>
      <c r="AG486">
        <v>0</v>
      </c>
      <c r="AH486">
        <v>0</v>
      </c>
      <c r="AI486">
        <v>0</v>
      </c>
      <c r="AJ486">
        <v>0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165.84</v>
      </c>
      <c r="AR486">
        <v>0</v>
      </c>
      <c r="AS486">
        <v>0</v>
      </c>
      <c r="AT486">
        <v>0</v>
      </c>
      <c r="AU486">
        <v>0</v>
      </c>
      <c r="AV486">
        <v>0</v>
      </c>
      <c r="AW486">
        <v>0</v>
      </c>
      <c r="AX486">
        <v>0</v>
      </c>
      <c r="AY486">
        <v>0</v>
      </c>
      <c r="AZ486">
        <v>0</v>
      </c>
      <c r="BA486">
        <v>0</v>
      </c>
      <c r="BB486">
        <v>0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1</v>
      </c>
      <c r="BI486">
        <v>13</v>
      </c>
      <c r="BJ486">
        <v>1.8</v>
      </c>
      <c r="BK486">
        <v>13</v>
      </c>
      <c r="BL486">
        <v>494.24</v>
      </c>
      <c r="BM486">
        <v>74.14</v>
      </c>
      <c r="BN486">
        <v>568.38</v>
      </c>
      <c r="BO486">
        <v>568.38</v>
      </c>
      <c r="BQ486" t="s">
        <v>1078</v>
      </c>
      <c r="BR486" t="s">
        <v>82</v>
      </c>
      <c r="BS486" s="3">
        <v>45996</v>
      </c>
      <c r="BT486" s="4">
        <v>0.42499999999999999</v>
      </c>
      <c r="BU486" t="s">
        <v>1079</v>
      </c>
      <c r="BV486" t="s">
        <v>84</v>
      </c>
      <c r="BY486">
        <v>8816</v>
      </c>
      <c r="CA486" t="s">
        <v>99</v>
      </c>
      <c r="CC486" t="s">
        <v>95</v>
      </c>
      <c r="CD486">
        <v>3600</v>
      </c>
      <c r="CE486" t="s">
        <v>86</v>
      </c>
      <c r="CF486" s="3">
        <v>45996</v>
      </c>
      <c r="CI486">
        <v>1</v>
      </c>
      <c r="CJ486">
        <v>1</v>
      </c>
      <c r="CK486">
        <v>21</v>
      </c>
      <c r="CL486" t="s">
        <v>87</v>
      </c>
    </row>
    <row r="487" spans="1:90" x14ac:dyDescent="0.3">
      <c r="A487" t="s">
        <v>72</v>
      </c>
      <c r="B487" t="s">
        <v>73</v>
      </c>
      <c r="C487" t="s">
        <v>74</v>
      </c>
      <c r="E487" t="str">
        <f>"080069671017"</f>
        <v>080069671017</v>
      </c>
      <c r="F487" s="3">
        <v>45995</v>
      </c>
      <c r="G487">
        <v>202609</v>
      </c>
      <c r="H487" t="s">
        <v>75</v>
      </c>
      <c r="I487" t="s">
        <v>76</v>
      </c>
      <c r="J487" t="s">
        <v>77</v>
      </c>
      <c r="K487" t="s">
        <v>78</v>
      </c>
      <c r="L487" t="s">
        <v>141</v>
      </c>
      <c r="M487" t="s">
        <v>142</v>
      </c>
      <c r="N487" t="s">
        <v>1196</v>
      </c>
      <c r="O487" t="s">
        <v>89</v>
      </c>
      <c r="P487" t="str">
        <f>"4170071746                    "</f>
        <v xml:space="preserve">4170071746                    </v>
      </c>
      <c r="Q487">
        <v>0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>
        <v>0</v>
      </c>
      <c r="Y487">
        <v>0</v>
      </c>
      <c r="Z487">
        <v>0</v>
      </c>
      <c r="AA487">
        <v>0</v>
      </c>
      <c r="AB487">
        <v>0</v>
      </c>
      <c r="AC487">
        <v>0</v>
      </c>
      <c r="AD487">
        <v>0</v>
      </c>
      <c r="AE487">
        <v>0</v>
      </c>
      <c r="AF487">
        <v>0</v>
      </c>
      <c r="AG487">
        <v>0</v>
      </c>
      <c r="AH487">
        <v>0</v>
      </c>
      <c r="AI487">
        <v>0</v>
      </c>
      <c r="AJ487">
        <v>0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25.52</v>
      </c>
      <c r="AR487">
        <v>0</v>
      </c>
      <c r="AS487">
        <v>0</v>
      </c>
      <c r="AT487">
        <v>0</v>
      </c>
      <c r="AU487">
        <v>0</v>
      </c>
      <c r="AV487">
        <v>0</v>
      </c>
      <c r="AW487">
        <v>0</v>
      </c>
      <c r="AX487">
        <v>0</v>
      </c>
      <c r="AY487">
        <v>0</v>
      </c>
      <c r="AZ487">
        <v>0</v>
      </c>
      <c r="BA487">
        <v>0</v>
      </c>
      <c r="BB487">
        <v>0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1</v>
      </c>
      <c r="BI487">
        <v>1</v>
      </c>
      <c r="BJ487">
        <v>0.2</v>
      </c>
      <c r="BK487">
        <v>1</v>
      </c>
      <c r="BL487">
        <v>76.06</v>
      </c>
      <c r="BM487">
        <v>11.41</v>
      </c>
      <c r="BN487">
        <v>87.47</v>
      </c>
      <c r="BO487">
        <v>87.47</v>
      </c>
      <c r="BQ487" t="s">
        <v>1197</v>
      </c>
      <c r="BR487" t="s">
        <v>82</v>
      </c>
      <c r="BS487" s="3">
        <v>45996</v>
      </c>
      <c r="BT487" s="4">
        <v>0.40416666666666667</v>
      </c>
      <c r="BU487" t="s">
        <v>1198</v>
      </c>
      <c r="BV487" t="s">
        <v>84</v>
      </c>
      <c r="BY487">
        <v>1200</v>
      </c>
      <c r="CA487" t="s">
        <v>571</v>
      </c>
      <c r="CC487" t="s">
        <v>142</v>
      </c>
      <c r="CD487">
        <v>6001</v>
      </c>
      <c r="CE487" t="s">
        <v>134</v>
      </c>
      <c r="CF487" s="3">
        <v>45996</v>
      </c>
      <c r="CI487">
        <v>1</v>
      </c>
      <c r="CJ487">
        <v>1</v>
      </c>
      <c r="CK487">
        <v>21</v>
      </c>
      <c r="CL487" t="s">
        <v>87</v>
      </c>
    </row>
    <row r="488" spans="1:90" x14ac:dyDescent="0.3">
      <c r="A488" t="s">
        <v>72</v>
      </c>
      <c r="B488" t="s">
        <v>73</v>
      </c>
      <c r="C488" t="s">
        <v>74</v>
      </c>
      <c r="E488" t="str">
        <f>"080069671061"</f>
        <v>080069671061</v>
      </c>
      <c r="F488" s="3">
        <v>45995</v>
      </c>
      <c r="G488">
        <v>202609</v>
      </c>
      <c r="H488" t="s">
        <v>75</v>
      </c>
      <c r="I488" t="s">
        <v>76</v>
      </c>
      <c r="J488" t="s">
        <v>77</v>
      </c>
      <c r="K488" t="s">
        <v>78</v>
      </c>
      <c r="L488" t="s">
        <v>94</v>
      </c>
      <c r="M488" t="s">
        <v>95</v>
      </c>
      <c r="N488" t="s">
        <v>1199</v>
      </c>
      <c r="O488" t="s">
        <v>89</v>
      </c>
      <c r="P488" t="str">
        <f>"4170071740                    "</f>
        <v xml:space="preserve">4170071740                    </v>
      </c>
      <c r="Q488">
        <v>0</v>
      </c>
      <c r="R488">
        <v>0</v>
      </c>
      <c r="S488">
        <v>0</v>
      </c>
      <c r="T488">
        <v>0</v>
      </c>
      <c r="U488">
        <v>0</v>
      </c>
      <c r="V488">
        <v>0</v>
      </c>
      <c r="W488">
        <v>0</v>
      </c>
      <c r="X488">
        <v>0</v>
      </c>
      <c r="Y488">
        <v>0</v>
      </c>
      <c r="Z488">
        <v>0</v>
      </c>
      <c r="AA488">
        <v>0</v>
      </c>
      <c r="AB488">
        <v>0</v>
      </c>
      <c r="AC488">
        <v>0</v>
      </c>
      <c r="AD488">
        <v>0</v>
      </c>
      <c r="AE488">
        <v>0</v>
      </c>
      <c r="AF488">
        <v>0</v>
      </c>
      <c r="AG488">
        <v>0</v>
      </c>
      <c r="AH488">
        <v>0</v>
      </c>
      <c r="AI488">
        <v>0</v>
      </c>
      <c r="AJ488">
        <v>0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25.52</v>
      </c>
      <c r="AR488">
        <v>0</v>
      </c>
      <c r="AS488">
        <v>0</v>
      </c>
      <c r="AT488">
        <v>0</v>
      </c>
      <c r="AU488">
        <v>0</v>
      </c>
      <c r="AV488">
        <v>0</v>
      </c>
      <c r="AW488">
        <v>0</v>
      </c>
      <c r="AX488">
        <v>0</v>
      </c>
      <c r="AY488">
        <v>0</v>
      </c>
      <c r="AZ488">
        <v>0</v>
      </c>
      <c r="BA488">
        <v>0</v>
      </c>
      <c r="BB488">
        <v>0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1</v>
      </c>
      <c r="BI488">
        <v>1</v>
      </c>
      <c r="BJ488">
        <v>0.2</v>
      </c>
      <c r="BK488">
        <v>1</v>
      </c>
      <c r="BL488">
        <v>76.06</v>
      </c>
      <c r="BM488">
        <v>11.41</v>
      </c>
      <c r="BN488">
        <v>87.47</v>
      </c>
      <c r="BO488">
        <v>87.47</v>
      </c>
      <c r="BQ488" t="s">
        <v>1200</v>
      </c>
      <c r="BR488" t="s">
        <v>82</v>
      </c>
      <c r="BS488" s="3">
        <v>45996</v>
      </c>
      <c r="BT488" s="4">
        <v>0.51041666666666663</v>
      </c>
      <c r="BU488" t="s">
        <v>1201</v>
      </c>
      <c r="BV488" t="s">
        <v>87</v>
      </c>
      <c r="BW488" t="s">
        <v>246</v>
      </c>
      <c r="BX488" t="s">
        <v>294</v>
      </c>
      <c r="BY488">
        <v>1200</v>
      </c>
      <c r="CA488" t="s">
        <v>1202</v>
      </c>
      <c r="CC488" t="s">
        <v>95</v>
      </c>
      <c r="CD488">
        <v>4037</v>
      </c>
      <c r="CE488" t="s">
        <v>134</v>
      </c>
      <c r="CF488" s="3">
        <v>45996</v>
      </c>
      <c r="CI488">
        <v>1</v>
      </c>
      <c r="CJ488">
        <v>1</v>
      </c>
      <c r="CK488">
        <v>21</v>
      </c>
      <c r="CL488" t="s">
        <v>87</v>
      </c>
    </row>
    <row r="489" spans="1:90" x14ac:dyDescent="0.3">
      <c r="A489" t="s">
        <v>72</v>
      </c>
      <c r="B489" t="s">
        <v>73</v>
      </c>
      <c r="C489" t="s">
        <v>74</v>
      </c>
      <c r="E489" t="str">
        <f>"080069671091"</f>
        <v>080069671091</v>
      </c>
      <c r="F489" s="3">
        <v>45995</v>
      </c>
      <c r="G489">
        <v>202609</v>
      </c>
      <c r="H489" t="s">
        <v>75</v>
      </c>
      <c r="I489" t="s">
        <v>76</v>
      </c>
      <c r="J489" t="s">
        <v>77</v>
      </c>
      <c r="K489" t="s">
        <v>78</v>
      </c>
      <c r="L489" t="s">
        <v>548</v>
      </c>
      <c r="M489" t="s">
        <v>549</v>
      </c>
      <c r="N489" t="s">
        <v>572</v>
      </c>
      <c r="O489" t="s">
        <v>89</v>
      </c>
      <c r="P489" t="str">
        <f>"4170071784                    "</f>
        <v xml:space="preserve">4170071784                    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0</v>
      </c>
      <c r="Z489">
        <v>0</v>
      </c>
      <c r="AA489">
        <v>0</v>
      </c>
      <c r="AB489">
        <v>0</v>
      </c>
      <c r="AC489">
        <v>0</v>
      </c>
      <c r="AD489">
        <v>0</v>
      </c>
      <c r="AE489">
        <v>0</v>
      </c>
      <c r="AF489">
        <v>0</v>
      </c>
      <c r="AG489">
        <v>0</v>
      </c>
      <c r="AH489">
        <v>0</v>
      </c>
      <c r="AI489">
        <v>0</v>
      </c>
      <c r="AJ489">
        <v>0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49.45</v>
      </c>
      <c r="AR489">
        <v>0</v>
      </c>
      <c r="AS489">
        <v>0</v>
      </c>
      <c r="AT489">
        <v>0</v>
      </c>
      <c r="AU489">
        <v>0</v>
      </c>
      <c r="AV489">
        <v>0</v>
      </c>
      <c r="AW489">
        <v>0</v>
      </c>
      <c r="AX489">
        <v>0</v>
      </c>
      <c r="AY489">
        <v>0</v>
      </c>
      <c r="AZ489">
        <v>0</v>
      </c>
      <c r="BA489">
        <v>0</v>
      </c>
      <c r="BB489">
        <v>0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1</v>
      </c>
      <c r="BI489">
        <v>0.2</v>
      </c>
      <c r="BJ489">
        <v>0.7</v>
      </c>
      <c r="BK489">
        <v>1</v>
      </c>
      <c r="BL489">
        <v>147.38</v>
      </c>
      <c r="BM489">
        <v>22.11</v>
      </c>
      <c r="BN489">
        <v>169.49</v>
      </c>
      <c r="BO489">
        <v>169.49</v>
      </c>
      <c r="BQ489" t="s">
        <v>573</v>
      </c>
      <c r="BR489" t="s">
        <v>82</v>
      </c>
      <c r="BS489" s="3">
        <v>45996</v>
      </c>
      <c r="BT489" s="4">
        <v>0.43680555555555556</v>
      </c>
      <c r="BU489" t="s">
        <v>574</v>
      </c>
      <c r="BV489" t="s">
        <v>84</v>
      </c>
      <c r="BY489">
        <v>3423.7</v>
      </c>
      <c r="CA489">
        <v>9703035538081</v>
      </c>
      <c r="CC489" t="s">
        <v>549</v>
      </c>
      <c r="CD489">
        <v>2302</v>
      </c>
      <c r="CE489" t="s">
        <v>134</v>
      </c>
      <c r="CF489" s="3">
        <v>45999</v>
      </c>
      <c r="CI489">
        <v>1</v>
      </c>
      <c r="CJ489">
        <v>1</v>
      </c>
      <c r="CK489">
        <v>23</v>
      </c>
      <c r="CL489" t="s">
        <v>87</v>
      </c>
    </row>
    <row r="490" spans="1:90" x14ac:dyDescent="0.3">
      <c r="A490" t="s">
        <v>72</v>
      </c>
      <c r="B490" t="s">
        <v>73</v>
      </c>
      <c r="C490" t="s">
        <v>74</v>
      </c>
      <c r="E490" t="str">
        <f>"080069671103"</f>
        <v>080069671103</v>
      </c>
      <c r="F490" s="3">
        <v>45995</v>
      </c>
      <c r="G490">
        <v>202609</v>
      </c>
      <c r="H490" t="s">
        <v>75</v>
      </c>
      <c r="I490" t="s">
        <v>76</v>
      </c>
      <c r="J490" t="s">
        <v>77</v>
      </c>
      <c r="K490" t="s">
        <v>78</v>
      </c>
      <c r="L490" t="s">
        <v>465</v>
      </c>
      <c r="M490" t="s">
        <v>466</v>
      </c>
      <c r="N490" t="s">
        <v>1203</v>
      </c>
      <c r="O490" t="s">
        <v>89</v>
      </c>
      <c r="P490" t="str">
        <f>"4170071700                    "</f>
        <v xml:space="preserve">4170071700                    </v>
      </c>
      <c r="Q490">
        <v>0</v>
      </c>
      <c r="R490">
        <v>0</v>
      </c>
      <c r="S490">
        <v>0</v>
      </c>
      <c r="T490">
        <v>0</v>
      </c>
      <c r="U490">
        <v>0</v>
      </c>
      <c r="V490">
        <v>0</v>
      </c>
      <c r="W490">
        <v>0</v>
      </c>
      <c r="X490">
        <v>0</v>
      </c>
      <c r="Y490">
        <v>0</v>
      </c>
      <c r="Z490">
        <v>0</v>
      </c>
      <c r="AA490">
        <v>0</v>
      </c>
      <c r="AB490">
        <v>0</v>
      </c>
      <c r="AC490">
        <v>0</v>
      </c>
      <c r="AD490">
        <v>0</v>
      </c>
      <c r="AE490">
        <v>0</v>
      </c>
      <c r="AF490">
        <v>0</v>
      </c>
      <c r="AG490">
        <v>0</v>
      </c>
      <c r="AH490">
        <v>0</v>
      </c>
      <c r="AI490">
        <v>0</v>
      </c>
      <c r="AJ490">
        <v>0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19.940000000000001</v>
      </c>
      <c r="AR490">
        <v>0</v>
      </c>
      <c r="AS490">
        <v>0</v>
      </c>
      <c r="AT490">
        <v>0</v>
      </c>
      <c r="AU490">
        <v>0</v>
      </c>
      <c r="AV490">
        <v>0</v>
      </c>
      <c r="AW490">
        <v>0</v>
      </c>
      <c r="AX490">
        <v>0</v>
      </c>
      <c r="AY490">
        <v>0</v>
      </c>
      <c r="AZ490">
        <v>0</v>
      </c>
      <c r="BA490">
        <v>0</v>
      </c>
      <c r="BB490">
        <v>0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1</v>
      </c>
      <c r="BI490">
        <v>2</v>
      </c>
      <c r="BJ490">
        <v>1.8</v>
      </c>
      <c r="BK490">
        <v>2</v>
      </c>
      <c r="BL490">
        <v>59.42</v>
      </c>
      <c r="BM490">
        <v>8.91</v>
      </c>
      <c r="BN490">
        <v>68.33</v>
      </c>
      <c r="BO490">
        <v>68.33</v>
      </c>
      <c r="BQ490" t="s">
        <v>1204</v>
      </c>
      <c r="BR490" t="s">
        <v>82</v>
      </c>
      <c r="BS490" s="3">
        <v>45996</v>
      </c>
      <c r="BT490" s="4">
        <v>0.38541666666666669</v>
      </c>
      <c r="BU490" t="s">
        <v>1205</v>
      </c>
      <c r="BV490" t="s">
        <v>84</v>
      </c>
      <c r="BY490">
        <v>8816</v>
      </c>
      <c r="CA490" t="s">
        <v>727</v>
      </c>
      <c r="CC490" t="s">
        <v>466</v>
      </c>
      <c r="CD490">
        <v>1422</v>
      </c>
      <c r="CE490" t="s">
        <v>86</v>
      </c>
      <c r="CF490" s="3">
        <v>45997</v>
      </c>
      <c r="CI490">
        <v>1</v>
      </c>
      <c r="CJ490">
        <v>1</v>
      </c>
      <c r="CK490">
        <v>22</v>
      </c>
      <c r="CL490" t="s">
        <v>87</v>
      </c>
    </row>
    <row r="491" spans="1:90" x14ac:dyDescent="0.3">
      <c r="A491" t="s">
        <v>72</v>
      </c>
      <c r="B491" t="s">
        <v>73</v>
      </c>
      <c r="C491" t="s">
        <v>74</v>
      </c>
      <c r="E491" t="str">
        <f>"080069671146"</f>
        <v>080069671146</v>
      </c>
      <c r="F491" s="3">
        <v>45995</v>
      </c>
      <c r="G491">
        <v>202609</v>
      </c>
      <c r="H491" t="s">
        <v>75</v>
      </c>
      <c r="I491" t="s">
        <v>76</v>
      </c>
      <c r="J491" t="s">
        <v>77</v>
      </c>
      <c r="K491" t="s">
        <v>78</v>
      </c>
      <c r="L491" t="s">
        <v>156</v>
      </c>
      <c r="M491" t="s">
        <v>157</v>
      </c>
      <c r="N491" t="s">
        <v>749</v>
      </c>
      <c r="O491" t="s">
        <v>89</v>
      </c>
      <c r="P491" t="str">
        <f>"4170071877                    "</f>
        <v xml:space="preserve">4170071877                    </v>
      </c>
      <c r="Q491">
        <v>0</v>
      </c>
      <c r="R491">
        <v>0</v>
      </c>
      <c r="S491">
        <v>0</v>
      </c>
      <c r="T491">
        <v>0</v>
      </c>
      <c r="U491">
        <v>0</v>
      </c>
      <c r="V491">
        <v>0</v>
      </c>
      <c r="W491">
        <v>0</v>
      </c>
      <c r="X491">
        <v>0</v>
      </c>
      <c r="Y491">
        <v>0</v>
      </c>
      <c r="Z491">
        <v>0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0</v>
      </c>
      <c r="AJ491">
        <v>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25.52</v>
      </c>
      <c r="AR491">
        <v>0</v>
      </c>
      <c r="AS491">
        <v>0</v>
      </c>
      <c r="AT491">
        <v>0</v>
      </c>
      <c r="AU491">
        <v>0</v>
      </c>
      <c r="AV491">
        <v>0</v>
      </c>
      <c r="AW491">
        <v>0</v>
      </c>
      <c r="AX491">
        <v>0</v>
      </c>
      <c r="AY491">
        <v>0</v>
      </c>
      <c r="AZ491">
        <v>0</v>
      </c>
      <c r="BA491">
        <v>0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1</v>
      </c>
      <c r="BI491">
        <v>1</v>
      </c>
      <c r="BJ491">
        <v>0.2</v>
      </c>
      <c r="BK491">
        <v>1</v>
      </c>
      <c r="BL491">
        <v>76.06</v>
      </c>
      <c r="BM491">
        <v>11.41</v>
      </c>
      <c r="BN491">
        <v>87.47</v>
      </c>
      <c r="BO491">
        <v>87.47</v>
      </c>
      <c r="BQ491" t="s">
        <v>750</v>
      </c>
      <c r="BR491" t="s">
        <v>82</v>
      </c>
      <c r="BS491" s="3">
        <v>45996</v>
      </c>
      <c r="BT491" s="4">
        <v>0.43402777777777779</v>
      </c>
      <c r="BU491" t="s">
        <v>998</v>
      </c>
      <c r="BV491" t="s">
        <v>84</v>
      </c>
      <c r="BY491">
        <v>1200</v>
      </c>
      <c r="CA491" t="s">
        <v>264</v>
      </c>
      <c r="CC491" t="s">
        <v>157</v>
      </c>
      <c r="CD491">
        <v>8001</v>
      </c>
      <c r="CE491" t="s">
        <v>134</v>
      </c>
      <c r="CF491" s="3">
        <v>45999</v>
      </c>
      <c r="CI491">
        <v>1</v>
      </c>
      <c r="CJ491">
        <v>1</v>
      </c>
      <c r="CK491">
        <v>21</v>
      </c>
      <c r="CL491" t="s">
        <v>87</v>
      </c>
    </row>
    <row r="492" spans="1:90" x14ac:dyDescent="0.3">
      <c r="A492" t="s">
        <v>72</v>
      </c>
      <c r="B492" t="s">
        <v>73</v>
      </c>
      <c r="C492" t="s">
        <v>74</v>
      </c>
      <c r="E492" t="str">
        <f>"080069671171"</f>
        <v>080069671171</v>
      </c>
      <c r="F492" s="3">
        <v>45995</v>
      </c>
      <c r="G492">
        <v>202609</v>
      </c>
      <c r="H492" t="s">
        <v>75</v>
      </c>
      <c r="I492" t="s">
        <v>76</v>
      </c>
      <c r="J492" t="s">
        <v>77</v>
      </c>
      <c r="K492" t="s">
        <v>78</v>
      </c>
      <c r="L492" t="s">
        <v>120</v>
      </c>
      <c r="M492" t="s">
        <v>121</v>
      </c>
      <c r="N492" t="s">
        <v>163</v>
      </c>
      <c r="O492" t="s">
        <v>89</v>
      </c>
      <c r="P492" t="str">
        <f>"4170071767                    "</f>
        <v xml:space="preserve">4170071767                    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0</v>
      </c>
      <c r="AD492">
        <v>0</v>
      </c>
      <c r="AE492">
        <v>0</v>
      </c>
      <c r="AF492">
        <v>0</v>
      </c>
      <c r="AG492">
        <v>0</v>
      </c>
      <c r="AH492">
        <v>0</v>
      </c>
      <c r="AI492">
        <v>0</v>
      </c>
      <c r="AJ492">
        <v>0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25.52</v>
      </c>
      <c r="AR492">
        <v>0</v>
      </c>
      <c r="AS492">
        <v>0</v>
      </c>
      <c r="AT492">
        <v>0</v>
      </c>
      <c r="AU492">
        <v>0</v>
      </c>
      <c r="AV492">
        <v>0</v>
      </c>
      <c r="AW492">
        <v>0</v>
      </c>
      <c r="AX492">
        <v>0</v>
      </c>
      <c r="AY492">
        <v>0</v>
      </c>
      <c r="AZ492">
        <v>0</v>
      </c>
      <c r="BA492">
        <v>0</v>
      </c>
      <c r="BB492">
        <v>0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1</v>
      </c>
      <c r="BI492">
        <v>1</v>
      </c>
      <c r="BJ492">
        <v>0.2</v>
      </c>
      <c r="BK492">
        <v>1</v>
      </c>
      <c r="BL492">
        <v>76.06</v>
      </c>
      <c r="BM492">
        <v>11.41</v>
      </c>
      <c r="BN492">
        <v>87.47</v>
      </c>
      <c r="BO492">
        <v>87.47</v>
      </c>
      <c r="BQ492" t="s">
        <v>164</v>
      </c>
      <c r="BR492" t="s">
        <v>82</v>
      </c>
      <c r="BS492" s="3">
        <v>45996</v>
      </c>
      <c r="BT492" s="4">
        <v>0.39930555555555558</v>
      </c>
      <c r="BU492" t="s">
        <v>165</v>
      </c>
      <c r="BV492" t="s">
        <v>84</v>
      </c>
      <c r="BY492">
        <v>1200</v>
      </c>
      <c r="CA492" t="s">
        <v>126</v>
      </c>
      <c r="CC492" t="s">
        <v>121</v>
      </c>
      <c r="CD492">
        <v>6230</v>
      </c>
      <c r="CE492" t="s">
        <v>134</v>
      </c>
      <c r="CF492" s="3">
        <v>45996</v>
      </c>
      <c r="CI492">
        <v>1</v>
      </c>
      <c r="CJ492">
        <v>1</v>
      </c>
      <c r="CK492">
        <v>21</v>
      </c>
      <c r="CL492" t="s">
        <v>87</v>
      </c>
    </row>
    <row r="493" spans="1:90" x14ac:dyDescent="0.3">
      <c r="A493" t="s">
        <v>72</v>
      </c>
      <c r="B493" t="s">
        <v>73</v>
      </c>
      <c r="C493" t="s">
        <v>74</v>
      </c>
      <c r="E493" t="str">
        <f>"080069671173"</f>
        <v>080069671173</v>
      </c>
      <c r="F493" s="3">
        <v>45995</v>
      </c>
      <c r="G493">
        <v>202609</v>
      </c>
      <c r="H493" t="s">
        <v>75</v>
      </c>
      <c r="I493" t="s">
        <v>76</v>
      </c>
      <c r="J493" t="s">
        <v>77</v>
      </c>
      <c r="K493" t="s">
        <v>78</v>
      </c>
      <c r="L493" t="s">
        <v>156</v>
      </c>
      <c r="M493" t="s">
        <v>157</v>
      </c>
      <c r="N493" t="s">
        <v>1206</v>
      </c>
      <c r="O493" t="s">
        <v>89</v>
      </c>
      <c r="P493" t="str">
        <f>"4170071262                    "</f>
        <v xml:space="preserve">4170071262                    </v>
      </c>
      <c r="Q493">
        <v>0</v>
      </c>
      <c r="R493">
        <v>0</v>
      </c>
      <c r="S493">
        <v>0</v>
      </c>
      <c r="T493">
        <v>0</v>
      </c>
      <c r="U493">
        <v>0</v>
      </c>
      <c r="V493">
        <v>0</v>
      </c>
      <c r="W493">
        <v>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0</v>
      </c>
      <c r="AJ493">
        <v>0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31.9</v>
      </c>
      <c r="AR493">
        <v>0</v>
      </c>
      <c r="AS493">
        <v>0</v>
      </c>
      <c r="AT493">
        <v>0</v>
      </c>
      <c r="AU493">
        <v>0</v>
      </c>
      <c r="AV493">
        <v>0</v>
      </c>
      <c r="AW493">
        <v>0</v>
      </c>
      <c r="AX493">
        <v>0</v>
      </c>
      <c r="AY493">
        <v>0</v>
      </c>
      <c r="AZ493">
        <v>0</v>
      </c>
      <c r="BA493">
        <v>0</v>
      </c>
      <c r="BB493">
        <v>0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1</v>
      </c>
      <c r="BI493">
        <v>1</v>
      </c>
      <c r="BJ493">
        <v>2.4</v>
      </c>
      <c r="BK493">
        <v>2.5</v>
      </c>
      <c r="BL493">
        <v>95.07</v>
      </c>
      <c r="BM493">
        <v>14.26</v>
      </c>
      <c r="BN493">
        <v>109.33</v>
      </c>
      <c r="BO493">
        <v>109.33</v>
      </c>
      <c r="BQ493" t="s">
        <v>1207</v>
      </c>
      <c r="BR493" t="s">
        <v>82</v>
      </c>
      <c r="BS493" s="3">
        <v>45996</v>
      </c>
      <c r="BT493" s="4">
        <v>0.47916666666666669</v>
      </c>
      <c r="BU493" t="s">
        <v>1208</v>
      </c>
      <c r="BV493" t="s">
        <v>84</v>
      </c>
      <c r="BY493">
        <v>12012</v>
      </c>
      <c r="CA493" t="s">
        <v>1209</v>
      </c>
      <c r="CC493" t="s">
        <v>157</v>
      </c>
      <c r="CD493">
        <v>7945</v>
      </c>
      <c r="CE493" t="s">
        <v>93</v>
      </c>
      <c r="CF493" s="3">
        <v>45999</v>
      </c>
      <c r="CI493">
        <v>1</v>
      </c>
      <c r="CJ493">
        <v>1</v>
      </c>
      <c r="CK493">
        <v>21</v>
      </c>
      <c r="CL493" t="s">
        <v>87</v>
      </c>
    </row>
    <row r="494" spans="1:90" x14ac:dyDescent="0.3">
      <c r="A494" t="s">
        <v>72</v>
      </c>
      <c r="B494" t="s">
        <v>73</v>
      </c>
      <c r="C494" t="s">
        <v>74</v>
      </c>
      <c r="E494" t="str">
        <f>"080069671204"</f>
        <v>080069671204</v>
      </c>
      <c r="F494" s="3">
        <v>45995</v>
      </c>
      <c r="G494">
        <v>202609</v>
      </c>
      <c r="H494" t="s">
        <v>75</v>
      </c>
      <c r="I494" t="s">
        <v>76</v>
      </c>
      <c r="J494" t="s">
        <v>77</v>
      </c>
      <c r="K494" t="s">
        <v>78</v>
      </c>
      <c r="L494" t="s">
        <v>75</v>
      </c>
      <c r="M494" t="s">
        <v>76</v>
      </c>
      <c r="N494" t="s">
        <v>871</v>
      </c>
      <c r="O494" t="s">
        <v>89</v>
      </c>
      <c r="P494" t="str">
        <f>"4170071369                    "</f>
        <v xml:space="preserve">4170071369                    </v>
      </c>
      <c r="Q494">
        <v>0</v>
      </c>
      <c r="R494">
        <v>0</v>
      </c>
      <c r="S494">
        <v>0</v>
      </c>
      <c r="T494">
        <v>0</v>
      </c>
      <c r="U494">
        <v>0</v>
      </c>
      <c r="V494">
        <v>0</v>
      </c>
      <c r="W494">
        <v>0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0</v>
      </c>
      <c r="AE494">
        <v>0</v>
      </c>
      <c r="AF494">
        <v>0</v>
      </c>
      <c r="AG494">
        <v>0</v>
      </c>
      <c r="AH494">
        <v>0</v>
      </c>
      <c r="AI494">
        <v>0</v>
      </c>
      <c r="AJ494">
        <v>0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19.940000000000001</v>
      </c>
      <c r="AR494">
        <v>0</v>
      </c>
      <c r="AS494">
        <v>0</v>
      </c>
      <c r="AT494">
        <v>0</v>
      </c>
      <c r="AU494">
        <v>0</v>
      </c>
      <c r="AV494">
        <v>0</v>
      </c>
      <c r="AW494">
        <v>0</v>
      </c>
      <c r="AX494">
        <v>0</v>
      </c>
      <c r="AY494">
        <v>0</v>
      </c>
      <c r="AZ494">
        <v>0</v>
      </c>
      <c r="BA494">
        <v>0</v>
      </c>
      <c r="BB494">
        <v>0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1</v>
      </c>
      <c r="BI494">
        <v>2</v>
      </c>
      <c r="BJ494">
        <v>1.9</v>
      </c>
      <c r="BK494">
        <v>2</v>
      </c>
      <c r="BL494">
        <v>59.42</v>
      </c>
      <c r="BM494">
        <v>8.91</v>
      </c>
      <c r="BN494">
        <v>68.33</v>
      </c>
      <c r="BO494">
        <v>68.33</v>
      </c>
      <c r="BQ494" t="s">
        <v>872</v>
      </c>
      <c r="BR494" t="s">
        <v>82</v>
      </c>
      <c r="BS494" s="3">
        <v>45996</v>
      </c>
      <c r="BT494" s="4">
        <v>0.40277777777777779</v>
      </c>
      <c r="BU494" t="s">
        <v>1210</v>
      </c>
      <c r="BV494" t="s">
        <v>84</v>
      </c>
      <c r="BY494">
        <v>9600</v>
      </c>
      <c r="CA494" t="s">
        <v>92</v>
      </c>
      <c r="CC494" t="s">
        <v>76</v>
      </c>
      <c r="CD494">
        <v>1618</v>
      </c>
      <c r="CE494" t="s">
        <v>86</v>
      </c>
      <c r="CF494" s="3">
        <v>45997</v>
      </c>
      <c r="CI494">
        <v>1</v>
      </c>
      <c r="CJ494">
        <v>1</v>
      </c>
      <c r="CK494">
        <v>22</v>
      </c>
      <c r="CL494" t="s">
        <v>87</v>
      </c>
    </row>
    <row r="495" spans="1:90" x14ac:dyDescent="0.3">
      <c r="A495" t="s">
        <v>72</v>
      </c>
      <c r="B495" t="s">
        <v>73</v>
      </c>
      <c r="C495" t="s">
        <v>74</v>
      </c>
      <c r="E495" t="str">
        <f>"080069671387"</f>
        <v>080069671387</v>
      </c>
      <c r="F495" s="3">
        <v>45995</v>
      </c>
      <c r="G495">
        <v>202609</v>
      </c>
      <c r="H495" t="s">
        <v>75</v>
      </c>
      <c r="I495" t="s">
        <v>76</v>
      </c>
      <c r="J495" t="s">
        <v>77</v>
      </c>
      <c r="K495" t="s">
        <v>78</v>
      </c>
      <c r="L495" t="s">
        <v>535</v>
      </c>
      <c r="M495" t="s">
        <v>535</v>
      </c>
      <c r="N495" t="s">
        <v>1112</v>
      </c>
      <c r="O495" t="s">
        <v>89</v>
      </c>
      <c r="P495" t="str">
        <f>"4170071895                    "</f>
        <v xml:space="preserve">4170071895                    </v>
      </c>
      <c r="Q495">
        <v>0</v>
      </c>
      <c r="R495">
        <v>0</v>
      </c>
      <c r="S495">
        <v>0</v>
      </c>
      <c r="T495">
        <v>0</v>
      </c>
      <c r="U495">
        <v>0</v>
      </c>
      <c r="V495">
        <v>0</v>
      </c>
      <c r="W495">
        <v>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0</v>
      </c>
      <c r="AD495">
        <v>0</v>
      </c>
      <c r="AE495">
        <v>0</v>
      </c>
      <c r="AF495">
        <v>0</v>
      </c>
      <c r="AG495">
        <v>0</v>
      </c>
      <c r="AH495">
        <v>0</v>
      </c>
      <c r="AI495">
        <v>0</v>
      </c>
      <c r="AJ495">
        <v>0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49.45</v>
      </c>
      <c r="AR495">
        <v>0</v>
      </c>
      <c r="AS495">
        <v>0</v>
      </c>
      <c r="AT495">
        <v>0</v>
      </c>
      <c r="AU495">
        <v>0</v>
      </c>
      <c r="AV495">
        <v>0</v>
      </c>
      <c r="AW495">
        <v>0</v>
      </c>
      <c r="AX495">
        <v>0</v>
      </c>
      <c r="AY495">
        <v>0</v>
      </c>
      <c r="AZ495">
        <v>0</v>
      </c>
      <c r="BA495">
        <v>0</v>
      </c>
      <c r="BB495">
        <v>0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1</v>
      </c>
      <c r="BI495">
        <v>1</v>
      </c>
      <c r="BJ495">
        <v>0.2</v>
      </c>
      <c r="BK495">
        <v>1</v>
      </c>
      <c r="BL495">
        <v>147.38</v>
      </c>
      <c r="BM495">
        <v>22.11</v>
      </c>
      <c r="BN495">
        <v>169.49</v>
      </c>
      <c r="BO495">
        <v>169.49</v>
      </c>
      <c r="BQ495" t="s">
        <v>1113</v>
      </c>
      <c r="BR495" t="s">
        <v>82</v>
      </c>
      <c r="BS495" s="3">
        <v>45996</v>
      </c>
      <c r="BT495" s="4">
        <v>0.73888888888888893</v>
      </c>
      <c r="BU495" t="s">
        <v>774</v>
      </c>
      <c r="BV495" t="s">
        <v>87</v>
      </c>
      <c r="BW495" t="s">
        <v>153</v>
      </c>
      <c r="BX495" t="s">
        <v>345</v>
      </c>
      <c r="BY495">
        <v>1200</v>
      </c>
      <c r="CA495" t="s">
        <v>539</v>
      </c>
      <c r="CC495" t="s">
        <v>535</v>
      </c>
      <c r="CD495">
        <v>7646</v>
      </c>
      <c r="CE495" t="s">
        <v>134</v>
      </c>
      <c r="CF495" s="3">
        <v>45999</v>
      </c>
      <c r="CI495">
        <v>1</v>
      </c>
      <c r="CJ495">
        <v>1</v>
      </c>
      <c r="CK495">
        <v>23</v>
      </c>
      <c r="CL495" t="s">
        <v>87</v>
      </c>
    </row>
    <row r="496" spans="1:90" x14ac:dyDescent="0.3">
      <c r="A496" t="s">
        <v>72</v>
      </c>
      <c r="B496" t="s">
        <v>73</v>
      </c>
      <c r="C496" t="s">
        <v>74</v>
      </c>
      <c r="E496" t="str">
        <f>"080069671392"</f>
        <v>080069671392</v>
      </c>
      <c r="F496" s="3">
        <v>45995</v>
      </c>
      <c r="G496">
        <v>202609</v>
      </c>
      <c r="H496" t="s">
        <v>75</v>
      </c>
      <c r="I496" t="s">
        <v>76</v>
      </c>
      <c r="J496" t="s">
        <v>77</v>
      </c>
      <c r="K496" t="s">
        <v>78</v>
      </c>
      <c r="L496" t="s">
        <v>100</v>
      </c>
      <c r="M496" t="s">
        <v>101</v>
      </c>
      <c r="N496" t="s">
        <v>102</v>
      </c>
      <c r="O496" t="s">
        <v>89</v>
      </c>
      <c r="P496" t="str">
        <f>"4170071799                    "</f>
        <v xml:space="preserve">4170071799                    </v>
      </c>
      <c r="Q496">
        <v>0</v>
      </c>
      <c r="R496">
        <v>0</v>
      </c>
      <c r="S496">
        <v>0</v>
      </c>
      <c r="T496">
        <v>0</v>
      </c>
      <c r="U496">
        <v>0</v>
      </c>
      <c r="V496">
        <v>0</v>
      </c>
      <c r="W496">
        <v>0</v>
      </c>
      <c r="X496">
        <v>0</v>
      </c>
      <c r="Y496">
        <v>0</v>
      </c>
      <c r="Z496">
        <v>0</v>
      </c>
      <c r="AA496">
        <v>0</v>
      </c>
      <c r="AB496">
        <v>0</v>
      </c>
      <c r="AC496">
        <v>0</v>
      </c>
      <c r="AD496">
        <v>0</v>
      </c>
      <c r="AE496">
        <v>0</v>
      </c>
      <c r="AF496">
        <v>0</v>
      </c>
      <c r="AG496">
        <v>0</v>
      </c>
      <c r="AH496">
        <v>0</v>
      </c>
      <c r="AI496">
        <v>0</v>
      </c>
      <c r="AJ496">
        <v>0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25.52</v>
      </c>
      <c r="AR496">
        <v>0</v>
      </c>
      <c r="AS496">
        <v>0</v>
      </c>
      <c r="AT496">
        <v>0</v>
      </c>
      <c r="AU496">
        <v>0</v>
      </c>
      <c r="AV496">
        <v>0</v>
      </c>
      <c r="AW496">
        <v>0</v>
      </c>
      <c r="AX496">
        <v>0</v>
      </c>
      <c r="AY496">
        <v>0</v>
      </c>
      <c r="AZ496">
        <v>0</v>
      </c>
      <c r="BA496">
        <v>0</v>
      </c>
      <c r="BB496">
        <v>0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1</v>
      </c>
      <c r="BI496">
        <v>2</v>
      </c>
      <c r="BJ496">
        <v>1.7</v>
      </c>
      <c r="BK496">
        <v>2</v>
      </c>
      <c r="BL496">
        <v>76.06</v>
      </c>
      <c r="BM496">
        <v>11.41</v>
      </c>
      <c r="BN496">
        <v>87.47</v>
      </c>
      <c r="BO496">
        <v>87.47</v>
      </c>
      <c r="BQ496" t="s">
        <v>103</v>
      </c>
      <c r="BR496" t="s">
        <v>82</v>
      </c>
      <c r="BS496" s="3">
        <v>45996</v>
      </c>
      <c r="BT496" s="4">
        <v>0.35347222222222224</v>
      </c>
      <c r="BU496" t="s">
        <v>1211</v>
      </c>
      <c r="BV496" t="s">
        <v>84</v>
      </c>
      <c r="BY496">
        <v>8640</v>
      </c>
      <c r="CA496" t="s">
        <v>107</v>
      </c>
      <c r="CC496" t="s">
        <v>101</v>
      </c>
      <c r="CD496">
        <v>4051</v>
      </c>
      <c r="CE496" t="s">
        <v>93</v>
      </c>
      <c r="CF496" s="3">
        <v>45996</v>
      </c>
      <c r="CI496">
        <v>1</v>
      </c>
      <c r="CJ496">
        <v>1</v>
      </c>
      <c r="CK496">
        <v>21</v>
      </c>
      <c r="CL496" t="s">
        <v>87</v>
      </c>
    </row>
    <row r="497" spans="1:90" x14ac:dyDescent="0.3">
      <c r="A497" t="s">
        <v>72</v>
      </c>
      <c r="B497" t="s">
        <v>73</v>
      </c>
      <c r="C497" t="s">
        <v>74</v>
      </c>
      <c r="E497" t="str">
        <f>"080069671481"</f>
        <v>080069671481</v>
      </c>
      <c r="F497" s="3">
        <v>45995</v>
      </c>
      <c r="G497">
        <v>202609</v>
      </c>
      <c r="H497" t="s">
        <v>75</v>
      </c>
      <c r="I497" t="s">
        <v>76</v>
      </c>
      <c r="J497" t="s">
        <v>77</v>
      </c>
      <c r="K497" t="s">
        <v>78</v>
      </c>
      <c r="L497" t="s">
        <v>302</v>
      </c>
      <c r="M497" t="s">
        <v>303</v>
      </c>
      <c r="N497" t="s">
        <v>1212</v>
      </c>
      <c r="O497" t="s">
        <v>89</v>
      </c>
      <c r="P497" t="str">
        <f>"4170071764                    "</f>
        <v xml:space="preserve">4170071764                    </v>
      </c>
      <c r="Q497">
        <v>0</v>
      </c>
      <c r="R497">
        <v>0</v>
      </c>
      <c r="S497">
        <v>0</v>
      </c>
      <c r="T497">
        <v>0</v>
      </c>
      <c r="U497">
        <v>0</v>
      </c>
      <c r="V497">
        <v>0</v>
      </c>
      <c r="W497">
        <v>0</v>
      </c>
      <c r="X497">
        <v>0</v>
      </c>
      <c r="Y497">
        <v>0</v>
      </c>
      <c r="Z497">
        <v>0</v>
      </c>
      <c r="AA497">
        <v>0</v>
      </c>
      <c r="AB497">
        <v>0</v>
      </c>
      <c r="AC497">
        <v>0</v>
      </c>
      <c r="AD497">
        <v>0</v>
      </c>
      <c r="AE497">
        <v>0</v>
      </c>
      <c r="AF497">
        <v>0</v>
      </c>
      <c r="AG497">
        <v>0</v>
      </c>
      <c r="AH497">
        <v>0</v>
      </c>
      <c r="AI497">
        <v>0</v>
      </c>
      <c r="AJ497">
        <v>0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25.52</v>
      </c>
      <c r="AR497">
        <v>0</v>
      </c>
      <c r="AS497">
        <v>0</v>
      </c>
      <c r="AT497">
        <v>0</v>
      </c>
      <c r="AU497">
        <v>0</v>
      </c>
      <c r="AV497">
        <v>0</v>
      </c>
      <c r="AW497">
        <v>0</v>
      </c>
      <c r="AX497">
        <v>0</v>
      </c>
      <c r="AY497">
        <v>0</v>
      </c>
      <c r="AZ497">
        <v>0</v>
      </c>
      <c r="BA497">
        <v>0</v>
      </c>
      <c r="BB497">
        <v>0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1</v>
      </c>
      <c r="BI497">
        <v>0.2</v>
      </c>
      <c r="BJ497">
        <v>0.9</v>
      </c>
      <c r="BK497">
        <v>1</v>
      </c>
      <c r="BL497">
        <v>76.06</v>
      </c>
      <c r="BM497">
        <v>11.41</v>
      </c>
      <c r="BN497">
        <v>87.47</v>
      </c>
      <c r="BO497">
        <v>87.47</v>
      </c>
      <c r="BQ497" t="s">
        <v>1213</v>
      </c>
      <c r="BR497" t="s">
        <v>82</v>
      </c>
      <c r="BS497" s="3">
        <v>45996</v>
      </c>
      <c r="BT497" s="4">
        <v>0.36388888888888887</v>
      </c>
      <c r="BU497" t="s">
        <v>1214</v>
      </c>
      <c r="BV497" t="s">
        <v>84</v>
      </c>
      <c r="BY497">
        <v>4579.5</v>
      </c>
      <c r="CA497">
        <v>9103185460089</v>
      </c>
      <c r="CC497" t="s">
        <v>303</v>
      </c>
      <c r="CD497" s="5" t="s">
        <v>1215</v>
      </c>
      <c r="CE497" t="s">
        <v>134</v>
      </c>
      <c r="CF497" s="3">
        <v>45996</v>
      </c>
      <c r="CI497">
        <v>1</v>
      </c>
      <c r="CJ497">
        <v>1</v>
      </c>
      <c r="CK497">
        <v>21</v>
      </c>
      <c r="CL497" t="s">
        <v>87</v>
      </c>
    </row>
    <row r="498" spans="1:90" x14ac:dyDescent="0.3">
      <c r="A498" t="s">
        <v>72</v>
      </c>
      <c r="B498" t="s">
        <v>73</v>
      </c>
      <c r="C498" t="s">
        <v>74</v>
      </c>
      <c r="E498" t="str">
        <f>"080069671495"</f>
        <v>080069671495</v>
      </c>
      <c r="F498" s="3">
        <v>45995</v>
      </c>
      <c r="G498">
        <v>202609</v>
      </c>
      <c r="H498" t="s">
        <v>75</v>
      </c>
      <c r="I498" t="s">
        <v>76</v>
      </c>
      <c r="J498" t="s">
        <v>77</v>
      </c>
      <c r="K498" t="s">
        <v>78</v>
      </c>
      <c r="L498" t="s">
        <v>482</v>
      </c>
      <c r="M498" t="s">
        <v>483</v>
      </c>
      <c r="N498" t="s">
        <v>1087</v>
      </c>
      <c r="O498" t="s">
        <v>89</v>
      </c>
      <c r="P498" t="str">
        <f>"4170071915                    "</f>
        <v xml:space="preserve">4170071915                    </v>
      </c>
      <c r="Q498">
        <v>0</v>
      </c>
      <c r="R498">
        <v>0</v>
      </c>
      <c r="S498">
        <v>0</v>
      </c>
      <c r="T498">
        <v>0</v>
      </c>
      <c r="U498">
        <v>0</v>
      </c>
      <c r="V498">
        <v>0</v>
      </c>
      <c r="W498">
        <v>0</v>
      </c>
      <c r="X498">
        <v>0</v>
      </c>
      <c r="Y498">
        <v>0</v>
      </c>
      <c r="Z498">
        <v>0</v>
      </c>
      <c r="AA498">
        <v>0</v>
      </c>
      <c r="AB498">
        <v>0</v>
      </c>
      <c r="AC498">
        <v>0</v>
      </c>
      <c r="AD498">
        <v>0</v>
      </c>
      <c r="AE498">
        <v>0</v>
      </c>
      <c r="AF498">
        <v>0</v>
      </c>
      <c r="AG498">
        <v>0</v>
      </c>
      <c r="AH498">
        <v>0</v>
      </c>
      <c r="AI498">
        <v>0</v>
      </c>
      <c r="AJ498">
        <v>0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94.12</v>
      </c>
      <c r="AR498">
        <v>0</v>
      </c>
      <c r="AS498">
        <v>0</v>
      </c>
      <c r="AT498">
        <v>0</v>
      </c>
      <c r="AU498">
        <v>0</v>
      </c>
      <c r="AV498">
        <v>0</v>
      </c>
      <c r="AW498">
        <v>0</v>
      </c>
      <c r="AX498">
        <v>0</v>
      </c>
      <c r="AY498">
        <v>0</v>
      </c>
      <c r="AZ498">
        <v>0</v>
      </c>
      <c r="BA498">
        <v>0</v>
      </c>
      <c r="BB498">
        <v>0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1</v>
      </c>
      <c r="BI498">
        <v>2.2999999999999998</v>
      </c>
      <c r="BJ498">
        <v>3.7</v>
      </c>
      <c r="BK498">
        <v>4</v>
      </c>
      <c r="BL498">
        <v>280.49</v>
      </c>
      <c r="BM498">
        <v>42.07</v>
      </c>
      <c r="BN498">
        <v>322.56</v>
      </c>
      <c r="BO498">
        <v>322.56</v>
      </c>
      <c r="BQ498" t="s">
        <v>1088</v>
      </c>
      <c r="BR498" t="s">
        <v>82</v>
      </c>
      <c r="BS498" s="3">
        <v>45999</v>
      </c>
      <c r="BT498" s="4">
        <v>0.4375</v>
      </c>
      <c r="BU498" t="s">
        <v>1089</v>
      </c>
      <c r="BV498" t="s">
        <v>87</v>
      </c>
      <c r="BW498" t="s">
        <v>186</v>
      </c>
      <c r="BX498" t="s">
        <v>288</v>
      </c>
      <c r="BY498">
        <v>18276.16</v>
      </c>
      <c r="CA498">
        <v>7711215278081</v>
      </c>
      <c r="CC498" t="s">
        <v>483</v>
      </c>
      <c r="CD498">
        <v>1871</v>
      </c>
      <c r="CE498" t="s">
        <v>86</v>
      </c>
      <c r="CF498" s="3">
        <v>46000</v>
      </c>
      <c r="CI498">
        <v>1</v>
      </c>
      <c r="CJ498">
        <v>2</v>
      </c>
      <c r="CK498">
        <v>23</v>
      </c>
      <c r="CL498" t="s">
        <v>87</v>
      </c>
    </row>
    <row r="499" spans="1:90" x14ac:dyDescent="0.3">
      <c r="A499" t="s">
        <v>72</v>
      </c>
      <c r="B499" t="s">
        <v>73</v>
      </c>
      <c r="C499" t="s">
        <v>74</v>
      </c>
      <c r="E499" t="str">
        <f>"080069671599"</f>
        <v>080069671599</v>
      </c>
      <c r="F499" s="3">
        <v>45995</v>
      </c>
      <c r="G499">
        <v>202609</v>
      </c>
      <c r="H499" t="s">
        <v>75</v>
      </c>
      <c r="I499" t="s">
        <v>76</v>
      </c>
      <c r="J499" t="s">
        <v>77</v>
      </c>
      <c r="K499" t="s">
        <v>78</v>
      </c>
      <c r="L499" t="s">
        <v>156</v>
      </c>
      <c r="M499" t="s">
        <v>157</v>
      </c>
      <c r="N499" t="s">
        <v>446</v>
      </c>
      <c r="O499" t="s">
        <v>89</v>
      </c>
      <c r="P499" t="str">
        <f>"4170071908                    "</f>
        <v xml:space="preserve">4170071908                    </v>
      </c>
      <c r="Q499">
        <v>0</v>
      </c>
      <c r="R499">
        <v>0</v>
      </c>
      <c r="S499">
        <v>0</v>
      </c>
      <c r="T499">
        <v>0</v>
      </c>
      <c r="U499">
        <v>0</v>
      </c>
      <c r="V499">
        <v>0</v>
      </c>
      <c r="W499">
        <v>0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0</v>
      </c>
      <c r="AD499">
        <v>0</v>
      </c>
      <c r="AE499">
        <v>0</v>
      </c>
      <c r="AF499">
        <v>0</v>
      </c>
      <c r="AG499">
        <v>0</v>
      </c>
      <c r="AH499">
        <v>0</v>
      </c>
      <c r="AI499">
        <v>0</v>
      </c>
      <c r="AJ499">
        <v>0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25.52</v>
      </c>
      <c r="AR499">
        <v>0</v>
      </c>
      <c r="AS499">
        <v>0</v>
      </c>
      <c r="AT499">
        <v>0</v>
      </c>
      <c r="AU499">
        <v>0</v>
      </c>
      <c r="AV499">
        <v>0</v>
      </c>
      <c r="AW499">
        <v>0</v>
      </c>
      <c r="AX499">
        <v>0</v>
      </c>
      <c r="AY499">
        <v>0</v>
      </c>
      <c r="AZ499">
        <v>0</v>
      </c>
      <c r="BA499">
        <v>0</v>
      </c>
      <c r="BB499">
        <v>0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1</v>
      </c>
      <c r="BI499">
        <v>1</v>
      </c>
      <c r="BJ499">
        <v>0.2</v>
      </c>
      <c r="BK499">
        <v>1</v>
      </c>
      <c r="BL499">
        <v>76.06</v>
      </c>
      <c r="BM499">
        <v>11.41</v>
      </c>
      <c r="BN499">
        <v>87.47</v>
      </c>
      <c r="BO499">
        <v>87.47</v>
      </c>
      <c r="BQ499" t="s">
        <v>447</v>
      </c>
      <c r="BR499" t="s">
        <v>82</v>
      </c>
      <c r="BS499" s="3">
        <v>45996</v>
      </c>
      <c r="BT499" s="4">
        <v>0.56527777777777777</v>
      </c>
      <c r="BU499" t="s">
        <v>1216</v>
      </c>
      <c r="BV499" t="s">
        <v>87</v>
      </c>
      <c r="BW499" t="s">
        <v>153</v>
      </c>
      <c r="BX499" t="s">
        <v>996</v>
      </c>
      <c r="BY499">
        <v>1200</v>
      </c>
      <c r="CA499" t="s">
        <v>1217</v>
      </c>
      <c r="CC499" t="s">
        <v>157</v>
      </c>
      <c r="CD499">
        <v>7530</v>
      </c>
      <c r="CE499" t="s">
        <v>134</v>
      </c>
      <c r="CF499" s="3">
        <v>45999</v>
      </c>
      <c r="CI499">
        <v>1</v>
      </c>
      <c r="CJ499">
        <v>1</v>
      </c>
      <c r="CK499">
        <v>21</v>
      </c>
      <c r="CL499" t="s">
        <v>87</v>
      </c>
    </row>
    <row r="500" spans="1:90" x14ac:dyDescent="0.3">
      <c r="A500" t="s">
        <v>72</v>
      </c>
      <c r="B500" t="s">
        <v>73</v>
      </c>
      <c r="C500" t="s">
        <v>74</v>
      </c>
      <c r="E500" t="str">
        <f>"080069671768"</f>
        <v>080069671768</v>
      </c>
      <c r="F500" s="3">
        <v>45995</v>
      </c>
      <c r="G500">
        <v>202609</v>
      </c>
      <c r="H500" t="s">
        <v>75</v>
      </c>
      <c r="I500" t="s">
        <v>76</v>
      </c>
      <c r="J500" t="s">
        <v>77</v>
      </c>
      <c r="K500" t="s">
        <v>78</v>
      </c>
      <c r="L500" t="s">
        <v>202</v>
      </c>
      <c r="M500" t="s">
        <v>203</v>
      </c>
      <c r="N500" t="s">
        <v>204</v>
      </c>
      <c r="O500" t="s">
        <v>89</v>
      </c>
      <c r="P500" t="str">
        <f>"4170071902                    "</f>
        <v xml:space="preserve">4170071902                    </v>
      </c>
      <c r="Q500">
        <v>0</v>
      </c>
      <c r="R500">
        <v>0</v>
      </c>
      <c r="S500">
        <v>0</v>
      </c>
      <c r="T500">
        <v>0</v>
      </c>
      <c r="U500">
        <v>0</v>
      </c>
      <c r="V500">
        <v>0</v>
      </c>
      <c r="W500">
        <v>0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0</v>
      </c>
      <c r="AD500">
        <v>0</v>
      </c>
      <c r="AE500">
        <v>0</v>
      </c>
      <c r="AF500">
        <v>0</v>
      </c>
      <c r="AG500">
        <v>0</v>
      </c>
      <c r="AH500">
        <v>0</v>
      </c>
      <c r="AI500">
        <v>0</v>
      </c>
      <c r="AJ500">
        <v>0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60.62</v>
      </c>
      <c r="AR500">
        <v>0</v>
      </c>
      <c r="AS500">
        <v>0</v>
      </c>
      <c r="AT500">
        <v>0</v>
      </c>
      <c r="AU500">
        <v>0</v>
      </c>
      <c r="AV500">
        <v>0</v>
      </c>
      <c r="AW500">
        <v>0</v>
      </c>
      <c r="AX500">
        <v>0</v>
      </c>
      <c r="AY500">
        <v>0</v>
      </c>
      <c r="AZ500">
        <v>0</v>
      </c>
      <c r="BA500">
        <v>0</v>
      </c>
      <c r="BB500">
        <v>0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1</v>
      </c>
      <c r="BI500">
        <v>1.5</v>
      </c>
      <c r="BJ500">
        <v>2.2999999999999998</v>
      </c>
      <c r="BK500">
        <v>2.5</v>
      </c>
      <c r="BL500">
        <v>180.66</v>
      </c>
      <c r="BM500">
        <v>27.1</v>
      </c>
      <c r="BN500">
        <v>207.76</v>
      </c>
      <c r="BO500">
        <v>207.76</v>
      </c>
      <c r="BQ500" t="s">
        <v>205</v>
      </c>
      <c r="BR500" t="s">
        <v>82</v>
      </c>
      <c r="BS500" s="3">
        <v>45996</v>
      </c>
      <c r="BT500" s="4">
        <v>0.40347222222222223</v>
      </c>
      <c r="BU500" t="s">
        <v>1218</v>
      </c>
      <c r="BV500" t="s">
        <v>84</v>
      </c>
      <c r="BY500">
        <v>11298.42</v>
      </c>
      <c r="CA500">
        <v>7908245451080</v>
      </c>
      <c r="CC500" t="s">
        <v>203</v>
      </c>
      <c r="CD500">
        <v>2531</v>
      </c>
      <c r="CE500" t="s">
        <v>134</v>
      </c>
      <c r="CF500" s="3">
        <v>45999</v>
      </c>
      <c r="CI500">
        <v>1</v>
      </c>
      <c r="CJ500">
        <v>1</v>
      </c>
      <c r="CK500">
        <v>23</v>
      </c>
      <c r="CL500" t="s">
        <v>87</v>
      </c>
    </row>
    <row r="501" spans="1:90" x14ac:dyDescent="0.3">
      <c r="A501" t="s">
        <v>72</v>
      </c>
      <c r="B501" t="s">
        <v>73</v>
      </c>
      <c r="C501" t="s">
        <v>74</v>
      </c>
      <c r="E501" t="str">
        <f>"080069671790"</f>
        <v>080069671790</v>
      </c>
      <c r="F501" s="3">
        <v>45995</v>
      </c>
      <c r="G501">
        <v>202609</v>
      </c>
      <c r="H501" t="s">
        <v>75</v>
      </c>
      <c r="I501" t="s">
        <v>76</v>
      </c>
      <c r="J501" t="s">
        <v>77</v>
      </c>
      <c r="K501" t="s">
        <v>78</v>
      </c>
      <c r="L501" t="s">
        <v>332</v>
      </c>
      <c r="M501" t="s">
        <v>333</v>
      </c>
      <c r="N501" t="s">
        <v>334</v>
      </c>
      <c r="O501" t="s">
        <v>89</v>
      </c>
      <c r="P501" t="str">
        <f>"4170071771                    "</f>
        <v xml:space="preserve">4170071771                    </v>
      </c>
      <c r="Q501">
        <v>0</v>
      </c>
      <c r="R501">
        <v>0</v>
      </c>
      <c r="S501">
        <v>0</v>
      </c>
      <c r="T501">
        <v>0</v>
      </c>
      <c r="U501">
        <v>0</v>
      </c>
      <c r="V501">
        <v>0</v>
      </c>
      <c r="W501">
        <v>0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0</v>
      </c>
      <c r="AD501">
        <v>0</v>
      </c>
      <c r="AE501">
        <v>0</v>
      </c>
      <c r="AF501">
        <v>0</v>
      </c>
      <c r="AG501">
        <v>0</v>
      </c>
      <c r="AH501">
        <v>0</v>
      </c>
      <c r="AI501">
        <v>0</v>
      </c>
      <c r="AJ501">
        <v>0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49.45</v>
      </c>
      <c r="AR501">
        <v>0</v>
      </c>
      <c r="AS501">
        <v>0</v>
      </c>
      <c r="AT501">
        <v>0</v>
      </c>
      <c r="AU501">
        <v>0</v>
      </c>
      <c r="AV501">
        <v>0</v>
      </c>
      <c r="AW501">
        <v>0</v>
      </c>
      <c r="AX501">
        <v>0</v>
      </c>
      <c r="AY501">
        <v>0</v>
      </c>
      <c r="AZ501">
        <v>0</v>
      </c>
      <c r="BA501">
        <v>0</v>
      </c>
      <c r="BB501">
        <v>0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1</v>
      </c>
      <c r="BI501">
        <v>1</v>
      </c>
      <c r="BJ501">
        <v>1.1000000000000001</v>
      </c>
      <c r="BK501">
        <v>1.5</v>
      </c>
      <c r="BL501">
        <v>147.38</v>
      </c>
      <c r="BM501">
        <v>22.11</v>
      </c>
      <c r="BN501">
        <v>169.49</v>
      </c>
      <c r="BO501">
        <v>169.49</v>
      </c>
      <c r="BQ501" t="s">
        <v>335</v>
      </c>
      <c r="BR501" t="s">
        <v>82</v>
      </c>
      <c r="BS501" s="3">
        <v>45996</v>
      </c>
      <c r="BT501" s="4">
        <v>0.59097222222222223</v>
      </c>
      <c r="BU501" t="s">
        <v>1219</v>
      </c>
      <c r="BV501" t="s">
        <v>84</v>
      </c>
      <c r="BY501">
        <v>5510</v>
      </c>
      <c r="CA501">
        <v>9512195092080</v>
      </c>
      <c r="CC501" t="s">
        <v>333</v>
      </c>
      <c r="CD501">
        <v>6500</v>
      </c>
      <c r="CE501" t="s">
        <v>86</v>
      </c>
      <c r="CF501" s="3">
        <v>45999</v>
      </c>
      <c r="CI501">
        <v>1</v>
      </c>
      <c r="CJ501">
        <v>1</v>
      </c>
      <c r="CK501">
        <v>23</v>
      </c>
      <c r="CL501" t="s">
        <v>87</v>
      </c>
    </row>
    <row r="502" spans="1:90" x14ac:dyDescent="0.3">
      <c r="A502" t="s">
        <v>72</v>
      </c>
      <c r="B502" t="s">
        <v>73</v>
      </c>
      <c r="C502" t="s">
        <v>74</v>
      </c>
      <c r="E502" t="str">
        <f>"080069671830"</f>
        <v>080069671830</v>
      </c>
      <c r="F502" s="3">
        <v>45995</v>
      </c>
      <c r="G502">
        <v>202609</v>
      </c>
      <c r="H502" t="s">
        <v>75</v>
      </c>
      <c r="I502" t="s">
        <v>76</v>
      </c>
      <c r="J502" t="s">
        <v>77</v>
      </c>
      <c r="K502" t="s">
        <v>78</v>
      </c>
      <c r="L502" t="s">
        <v>265</v>
      </c>
      <c r="M502" t="s">
        <v>266</v>
      </c>
      <c r="N502" t="s">
        <v>1220</v>
      </c>
      <c r="O502" t="s">
        <v>89</v>
      </c>
      <c r="P502" t="str">
        <f>"4170071742                    "</f>
        <v xml:space="preserve">4170071742                    </v>
      </c>
      <c r="Q502">
        <v>0</v>
      </c>
      <c r="R502">
        <v>0</v>
      </c>
      <c r="S502">
        <v>0</v>
      </c>
      <c r="T502">
        <v>0</v>
      </c>
      <c r="U502">
        <v>0</v>
      </c>
      <c r="V502">
        <v>0</v>
      </c>
      <c r="W502">
        <v>0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0</v>
      </c>
      <c r="AD502">
        <v>0</v>
      </c>
      <c r="AE502">
        <v>0</v>
      </c>
      <c r="AF502">
        <v>0</v>
      </c>
      <c r="AG502">
        <v>0</v>
      </c>
      <c r="AH502">
        <v>0</v>
      </c>
      <c r="AI502">
        <v>0</v>
      </c>
      <c r="AJ502">
        <v>0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19.940000000000001</v>
      </c>
      <c r="AR502">
        <v>0</v>
      </c>
      <c r="AS502">
        <v>0</v>
      </c>
      <c r="AT502">
        <v>0</v>
      </c>
      <c r="AU502">
        <v>0</v>
      </c>
      <c r="AV502">
        <v>0</v>
      </c>
      <c r="AW502">
        <v>0</v>
      </c>
      <c r="AX502">
        <v>0</v>
      </c>
      <c r="AY502">
        <v>0</v>
      </c>
      <c r="AZ502">
        <v>0</v>
      </c>
      <c r="BA502">
        <v>0</v>
      </c>
      <c r="BB502">
        <v>0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1</v>
      </c>
      <c r="BI502">
        <v>1</v>
      </c>
      <c r="BJ502">
        <v>0.2</v>
      </c>
      <c r="BK502">
        <v>1</v>
      </c>
      <c r="BL502">
        <v>59.42</v>
      </c>
      <c r="BM502">
        <v>8.91</v>
      </c>
      <c r="BN502">
        <v>68.33</v>
      </c>
      <c r="BO502">
        <v>68.33</v>
      </c>
      <c r="BQ502" t="s">
        <v>1221</v>
      </c>
      <c r="BR502" t="s">
        <v>82</v>
      </c>
      <c r="BS502" t="s">
        <v>500</v>
      </c>
      <c r="BY502">
        <v>1200</v>
      </c>
      <c r="CC502" t="s">
        <v>266</v>
      </c>
      <c r="CD502">
        <v>1459</v>
      </c>
      <c r="CE502" t="s">
        <v>134</v>
      </c>
      <c r="CI502">
        <v>1</v>
      </c>
      <c r="CJ502" t="s">
        <v>500</v>
      </c>
      <c r="CK502">
        <v>22</v>
      </c>
      <c r="CL502" t="s">
        <v>87</v>
      </c>
    </row>
    <row r="503" spans="1:90" x14ac:dyDescent="0.3">
      <c r="A503" t="s">
        <v>72</v>
      </c>
      <c r="B503" t="s">
        <v>73</v>
      </c>
      <c r="C503" t="s">
        <v>74</v>
      </c>
      <c r="E503" t="str">
        <f>"080069671858"</f>
        <v>080069671858</v>
      </c>
      <c r="F503" s="3">
        <v>45995</v>
      </c>
      <c r="G503">
        <v>202609</v>
      </c>
      <c r="H503" t="s">
        <v>75</v>
      </c>
      <c r="I503" t="s">
        <v>76</v>
      </c>
      <c r="J503" t="s">
        <v>77</v>
      </c>
      <c r="K503" t="s">
        <v>78</v>
      </c>
      <c r="L503" t="s">
        <v>502</v>
      </c>
      <c r="M503" t="s">
        <v>503</v>
      </c>
      <c r="N503" t="s">
        <v>678</v>
      </c>
      <c r="O503" t="s">
        <v>89</v>
      </c>
      <c r="P503" t="str">
        <f>"4170071744                    "</f>
        <v xml:space="preserve">4170071744                    </v>
      </c>
      <c r="Q503">
        <v>0</v>
      </c>
      <c r="R503">
        <v>0</v>
      </c>
      <c r="S503">
        <v>0</v>
      </c>
      <c r="T503">
        <v>0</v>
      </c>
      <c r="U503">
        <v>0</v>
      </c>
      <c r="V503">
        <v>0</v>
      </c>
      <c r="W503">
        <v>0</v>
      </c>
      <c r="X503">
        <v>0</v>
      </c>
      <c r="Y503">
        <v>0</v>
      </c>
      <c r="Z503">
        <v>0</v>
      </c>
      <c r="AA503">
        <v>0</v>
      </c>
      <c r="AB503">
        <v>0</v>
      </c>
      <c r="AC503">
        <v>0</v>
      </c>
      <c r="AD503">
        <v>0</v>
      </c>
      <c r="AE503">
        <v>0</v>
      </c>
      <c r="AF503">
        <v>0</v>
      </c>
      <c r="AG503">
        <v>0</v>
      </c>
      <c r="AH503">
        <v>0</v>
      </c>
      <c r="AI503">
        <v>0</v>
      </c>
      <c r="AJ503">
        <v>0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19.940000000000001</v>
      </c>
      <c r="AR503">
        <v>0</v>
      </c>
      <c r="AS503">
        <v>0</v>
      </c>
      <c r="AT503">
        <v>0</v>
      </c>
      <c r="AU503">
        <v>0</v>
      </c>
      <c r="AV503">
        <v>0</v>
      </c>
      <c r="AW503">
        <v>0</v>
      </c>
      <c r="AX503">
        <v>0</v>
      </c>
      <c r="AY503">
        <v>0</v>
      </c>
      <c r="AZ503">
        <v>0</v>
      </c>
      <c r="BA503">
        <v>0</v>
      </c>
      <c r="BB503">
        <v>0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1</v>
      </c>
      <c r="BI503">
        <v>1</v>
      </c>
      <c r="BJ503">
        <v>1.1000000000000001</v>
      </c>
      <c r="BK503">
        <v>2</v>
      </c>
      <c r="BL503">
        <v>59.42</v>
      </c>
      <c r="BM503">
        <v>8.91</v>
      </c>
      <c r="BN503">
        <v>68.33</v>
      </c>
      <c r="BO503">
        <v>68.33</v>
      </c>
      <c r="BQ503" t="s">
        <v>1222</v>
      </c>
      <c r="BR503" t="s">
        <v>82</v>
      </c>
      <c r="BS503" s="3">
        <v>45996</v>
      </c>
      <c r="BT503" s="4">
        <v>0.39583333333333331</v>
      </c>
      <c r="BU503" t="s">
        <v>1223</v>
      </c>
      <c r="BV503" t="s">
        <v>84</v>
      </c>
      <c r="BY503">
        <v>5510</v>
      </c>
      <c r="CA503" t="s">
        <v>507</v>
      </c>
      <c r="CC503" t="s">
        <v>503</v>
      </c>
      <c r="CD503">
        <v>1559</v>
      </c>
      <c r="CE503" t="s">
        <v>86</v>
      </c>
      <c r="CF503" s="3">
        <v>45996</v>
      </c>
      <c r="CI503">
        <v>1</v>
      </c>
      <c r="CJ503">
        <v>1</v>
      </c>
      <c r="CK503">
        <v>22</v>
      </c>
      <c r="CL503" t="s">
        <v>87</v>
      </c>
    </row>
    <row r="504" spans="1:90" x14ac:dyDescent="0.3">
      <c r="A504" t="s">
        <v>72</v>
      </c>
      <c r="B504" t="s">
        <v>73</v>
      </c>
      <c r="C504" t="s">
        <v>74</v>
      </c>
      <c r="E504" t="str">
        <f>"080069672074"</f>
        <v>080069672074</v>
      </c>
      <c r="F504" s="3">
        <v>45995</v>
      </c>
      <c r="G504">
        <v>202609</v>
      </c>
      <c r="H504" t="s">
        <v>75</v>
      </c>
      <c r="I504" t="s">
        <v>76</v>
      </c>
      <c r="J504" t="s">
        <v>77</v>
      </c>
      <c r="K504" t="s">
        <v>78</v>
      </c>
      <c r="L504" t="s">
        <v>100</v>
      </c>
      <c r="M504" t="s">
        <v>101</v>
      </c>
      <c r="N504" t="s">
        <v>102</v>
      </c>
      <c r="O504" t="s">
        <v>89</v>
      </c>
      <c r="P504" t="str">
        <f>"4170071882                    "</f>
        <v xml:space="preserve">4170071882                    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0</v>
      </c>
      <c r="W504">
        <v>0</v>
      </c>
      <c r="X504">
        <v>0</v>
      </c>
      <c r="Y504">
        <v>0</v>
      </c>
      <c r="Z504">
        <v>0</v>
      </c>
      <c r="AA504">
        <v>0</v>
      </c>
      <c r="AB504">
        <v>0</v>
      </c>
      <c r="AC504">
        <v>0</v>
      </c>
      <c r="AD504">
        <v>0</v>
      </c>
      <c r="AE504">
        <v>0</v>
      </c>
      <c r="AF504">
        <v>0</v>
      </c>
      <c r="AG504">
        <v>0</v>
      </c>
      <c r="AH504">
        <v>0</v>
      </c>
      <c r="AI504">
        <v>0</v>
      </c>
      <c r="AJ504">
        <v>0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25.52</v>
      </c>
      <c r="AR504">
        <v>0</v>
      </c>
      <c r="AS504">
        <v>0</v>
      </c>
      <c r="AT504">
        <v>0</v>
      </c>
      <c r="AU504">
        <v>0</v>
      </c>
      <c r="AV504">
        <v>0</v>
      </c>
      <c r="AW504">
        <v>0</v>
      </c>
      <c r="AX504">
        <v>0</v>
      </c>
      <c r="AY504">
        <v>0</v>
      </c>
      <c r="AZ504">
        <v>0</v>
      </c>
      <c r="BA504">
        <v>0</v>
      </c>
      <c r="BB504">
        <v>0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1</v>
      </c>
      <c r="BI504">
        <v>2</v>
      </c>
      <c r="BJ504">
        <v>1.8</v>
      </c>
      <c r="BK504">
        <v>2</v>
      </c>
      <c r="BL504">
        <v>76.06</v>
      </c>
      <c r="BM504">
        <v>11.41</v>
      </c>
      <c r="BN504">
        <v>87.47</v>
      </c>
      <c r="BO504">
        <v>87.47</v>
      </c>
      <c r="BQ504" t="s">
        <v>103</v>
      </c>
      <c r="BR504" t="s">
        <v>82</v>
      </c>
      <c r="BS504" s="3">
        <v>45996</v>
      </c>
      <c r="BT504" s="4">
        <v>0.35347222222222224</v>
      </c>
      <c r="BU504" t="s">
        <v>1211</v>
      </c>
      <c r="BV504" t="s">
        <v>84</v>
      </c>
      <c r="BY504">
        <v>8816</v>
      </c>
      <c r="CA504" t="s">
        <v>107</v>
      </c>
      <c r="CC504" t="s">
        <v>101</v>
      </c>
      <c r="CD504">
        <v>4051</v>
      </c>
      <c r="CE504" t="s">
        <v>86</v>
      </c>
      <c r="CF504" s="3">
        <v>45996</v>
      </c>
      <c r="CI504">
        <v>1</v>
      </c>
      <c r="CJ504">
        <v>1</v>
      </c>
      <c r="CK504">
        <v>21</v>
      </c>
      <c r="CL504" t="s">
        <v>87</v>
      </c>
    </row>
    <row r="505" spans="1:90" x14ac:dyDescent="0.3">
      <c r="A505" t="s">
        <v>72</v>
      </c>
      <c r="B505" t="s">
        <v>73</v>
      </c>
      <c r="C505" t="s">
        <v>74</v>
      </c>
      <c r="E505" t="str">
        <f>"080069672166"</f>
        <v>080069672166</v>
      </c>
      <c r="F505" s="3">
        <v>45995</v>
      </c>
      <c r="G505">
        <v>202609</v>
      </c>
      <c r="H505" t="s">
        <v>75</v>
      </c>
      <c r="I505" t="s">
        <v>76</v>
      </c>
      <c r="J505" t="s">
        <v>77</v>
      </c>
      <c r="K505" t="s">
        <v>78</v>
      </c>
      <c r="L505" t="s">
        <v>156</v>
      </c>
      <c r="M505" t="s">
        <v>157</v>
      </c>
      <c r="N505" t="s">
        <v>261</v>
      </c>
      <c r="O505" t="s">
        <v>89</v>
      </c>
      <c r="P505" t="str">
        <f>"4170071755                    "</f>
        <v xml:space="preserve">4170071755                    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  <c r="W505">
        <v>0</v>
      </c>
      <c r="X505">
        <v>0</v>
      </c>
      <c r="Y505">
        <v>0</v>
      </c>
      <c r="Z505">
        <v>0</v>
      </c>
      <c r="AA505">
        <v>0</v>
      </c>
      <c r="AB505">
        <v>0</v>
      </c>
      <c r="AC505">
        <v>0</v>
      </c>
      <c r="AD505">
        <v>0</v>
      </c>
      <c r="AE505">
        <v>0</v>
      </c>
      <c r="AF505">
        <v>0</v>
      </c>
      <c r="AG505">
        <v>0</v>
      </c>
      <c r="AH505">
        <v>0</v>
      </c>
      <c r="AI505">
        <v>0</v>
      </c>
      <c r="AJ505">
        <v>0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63.79</v>
      </c>
      <c r="AR505">
        <v>0</v>
      </c>
      <c r="AS505">
        <v>0</v>
      </c>
      <c r="AT505">
        <v>0</v>
      </c>
      <c r="AU505">
        <v>0</v>
      </c>
      <c r="AV505">
        <v>0</v>
      </c>
      <c r="AW505">
        <v>0</v>
      </c>
      <c r="AX505">
        <v>0</v>
      </c>
      <c r="AY505">
        <v>0</v>
      </c>
      <c r="AZ505">
        <v>0</v>
      </c>
      <c r="BA505">
        <v>0</v>
      </c>
      <c r="BB505">
        <v>0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1</v>
      </c>
      <c r="BI505">
        <v>5</v>
      </c>
      <c r="BJ505">
        <v>1.8</v>
      </c>
      <c r="BK505">
        <v>5</v>
      </c>
      <c r="BL505">
        <v>190.11</v>
      </c>
      <c r="BM505">
        <v>28.52</v>
      </c>
      <c r="BN505">
        <v>218.63</v>
      </c>
      <c r="BO505">
        <v>218.63</v>
      </c>
      <c r="BQ505" t="s">
        <v>262</v>
      </c>
      <c r="BR505" t="s">
        <v>82</v>
      </c>
      <c r="BS505" s="3">
        <v>45996</v>
      </c>
      <c r="BT505" s="4">
        <v>0.39861111111111114</v>
      </c>
      <c r="BU505" t="s">
        <v>263</v>
      </c>
      <c r="BV505" t="s">
        <v>84</v>
      </c>
      <c r="BY505">
        <v>8816</v>
      </c>
      <c r="CA505" t="s">
        <v>264</v>
      </c>
      <c r="CC505" t="s">
        <v>157</v>
      </c>
      <c r="CD505">
        <v>7441</v>
      </c>
      <c r="CE505" t="s">
        <v>86</v>
      </c>
      <c r="CF505" s="3">
        <v>45999</v>
      </c>
      <c r="CI505">
        <v>1</v>
      </c>
      <c r="CJ505">
        <v>1</v>
      </c>
      <c r="CK505">
        <v>21</v>
      </c>
      <c r="CL505" t="s">
        <v>87</v>
      </c>
    </row>
    <row r="506" spans="1:90" x14ac:dyDescent="0.3">
      <c r="A506" t="s">
        <v>72</v>
      </c>
      <c r="B506" t="s">
        <v>73</v>
      </c>
      <c r="C506" t="s">
        <v>74</v>
      </c>
      <c r="E506" t="str">
        <f>"080069672236"</f>
        <v>080069672236</v>
      </c>
      <c r="F506" s="3">
        <v>45995</v>
      </c>
      <c r="G506">
        <v>202609</v>
      </c>
      <c r="H506" t="s">
        <v>75</v>
      </c>
      <c r="I506" t="s">
        <v>76</v>
      </c>
      <c r="J506" t="s">
        <v>77</v>
      </c>
      <c r="K506" t="s">
        <v>78</v>
      </c>
      <c r="L506" t="s">
        <v>241</v>
      </c>
      <c r="M506" t="s">
        <v>242</v>
      </c>
      <c r="N506" t="s">
        <v>1098</v>
      </c>
      <c r="O506" t="s">
        <v>89</v>
      </c>
      <c r="P506" t="str">
        <f>"4170071802                    "</f>
        <v xml:space="preserve">4170071802                    </v>
      </c>
      <c r="Q506">
        <v>0</v>
      </c>
      <c r="R506">
        <v>0</v>
      </c>
      <c r="S506">
        <v>0</v>
      </c>
      <c r="T506">
        <v>0</v>
      </c>
      <c r="U506">
        <v>0</v>
      </c>
      <c r="V506">
        <v>0</v>
      </c>
      <c r="W506">
        <v>0</v>
      </c>
      <c r="X506">
        <v>0</v>
      </c>
      <c r="Y506">
        <v>0</v>
      </c>
      <c r="Z506">
        <v>0</v>
      </c>
      <c r="AA506">
        <v>0</v>
      </c>
      <c r="AB506">
        <v>0</v>
      </c>
      <c r="AC506">
        <v>0</v>
      </c>
      <c r="AD506">
        <v>0</v>
      </c>
      <c r="AE506">
        <v>0</v>
      </c>
      <c r="AF506">
        <v>0</v>
      </c>
      <c r="AG506">
        <v>0</v>
      </c>
      <c r="AH506">
        <v>0</v>
      </c>
      <c r="AI506">
        <v>0</v>
      </c>
      <c r="AJ506">
        <v>0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25.52</v>
      </c>
      <c r="AR506">
        <v>0</v>
      </c>
      <c r="AS506">
        <v>0</v>
      </c>
      <c r="AT506">
        <v>0</v>
      </c>
      <c r="AU506">
        <v>0</v>
      </c>
      <c r="AV506">
        <v>0</v>
      </c>
      <c r="AW506">
        <v>0</v>
      </c>
      <c r="AX506">
        <v>0</v>
      </c>
      <c r="AY506">
        <v>0</v>
      </c>
      <c r="AZ506">
        <v>0</v>
      </c>
      <c r="BA506">
        <v>0</v>
      </c>
      <c r="BB506">
        <v>0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1</v>
      </c>
      <c r="BI506">
        <v>1</v>
      </c>
      <c r="BJ506">
        <v>1.1000000000000001</v>
      </c>
      <c r="BK506">
        <v>1.5</v>
      </c>
      <c r="BL506">
        <v>76.06</v>
      </c>
      <c r="BM506">
        <v>11.41</v>
      </c>
      <c r="BN506">
        <v>87.47</v>
      </c>
      <c r="BO506">
        <v>87.47</v>
      </c>
      <c r="BQ506" t="s">
        <v>1099</v>
      </c>
      <c r="BR506" t="s">
        <v>82</v>
      </c>
      <c r="BS506" s="3">
        <v>45996</v>
      </c>
      <c r="BT506" s="4">
        <v>0.42291666666666666</v>
      </c>
      <c r="BU506" t="s">
        <v>1224</v>
      </c>
      <c r="BV506" t="s">
        <v>84</v>
      </c>
      <c r="BY506">
        <v>5510</v>
      </c>
      <c r="CA506" t="s">
        <v>1225</v>
      </c>
      <c r="CC506" t="s">
        <v>242</v>
      </c>
      <c r="CD506">
        <v>4302</v>
      </c>
      <c r="CE506" t="s">
        <v>86</v>
      </c>
      <c r="CF506" s="3">
        <v>45997</v>
      </c>
      <c r="CI506">
        <v>1</v>
      </c>
      <c r="CJ506">
        <v>1</v>
      </c>
      <c r="CK506">
        <v>21</v>
      </c>
      <c r="CL506" t="s">
        <v>87</v>
      </c>
    </row>
    <row r="507" spans="1:90" x14ac:dyDescent="0.3">
      <c r="A507" t="s">
        <v>72</v>
      </c>
      <c r="B507" t="s">
        <v>73</v>
      </c>
      <c r="C507" t="s">
        <v>74</v>
      </c>
      <c r="E507" t="str">
        <f>"080069672255"</f>
        <v>080069672255</v>
      </c>
      <c r="F507" s="3">
        <v>45995</v>
      </c>
      <c r="G507">
        <v>202609</v>
      </c>
      <c r="H507" t="s">
        <v>75</v>
      </c>
      <c r="I507" t="s">
        <v>76</v>
      </c>
      <c r="J507" t="s">
        <v>77</v>
      </c>
      <c r="K507" t="s">
        <v>78</v>
      </c>
      <c r="L507" t="s">
        <v>265</v>
      </c>
      <c r="M507" t="s">
        <v>266</v>
      </c>
      <c r="N507" t="s">
        <v>1220</v>
      </c>
      <c r="O507" t="s">
        <v>89</v>
      </c>
      <c r="P507" t="str">
        <f>"4170071742                    "</f>
        <v xml:space="preserve">4170071742                    </v>
      </c>
      <c r="Q507">
        <v>0</v>
      </c>
      <c r="R507">
        <v>0</v>
      </c>
      <c r="S507">
        <v>0</v>
      </c>
      <c r="T507">
        <v>0</v>
      </c>
      <c r="U507">
        <v>0</v>
      </c>
      <c r="V507">
        <v>0</v>
      </c>
      <c r="W507">
        <v>0</v>
      </c>
      <c r="X507">
        <v>0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0</v>
      </c>
      <c r="AE507">
        <v>0</v>
      </c>
      <c r="AF507">
        <v>0</v>
      </c>
      <c r="AG507">
        <v>0</v>
      </c>
      <c r="AH507">
        <v>0</v>
      </c>
      <c r="AI507">
        <v>0</v>
      </c>
      <c r="AJ507">
        <v>0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19.940000000000001</v>
      </c>
      <c r="AR507">
        <v>0</v>
      </c>
      <c r="AS507">
        <v>0</v>
      </c>
      <c r="AT507">
        <v>0</v>
      </c>
      <c r="AU507">
        <v>0</v>
      </c>
      <c r="AV507">
        <v>0</v>
      </c>
      <c r="AW507">
        <v>0</v>
      </c>
      <c r="AX507">
        <v>0</v>
      </c>
      <c r="AY507">
        <v>0</v>
      </c>
      <c r="AZ507">
        <v>0</v>
      </c>
      <c r="BA507">
        <v>0</v>
      </c>
      <c r="BB507">
        <v>0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1</v>
      </c>
      <c r="BI507">
        <v>0.2</v>
      </c>
      <c r="BJ507">
        <v>4.5999999999999996</v>
      </c>
      <c r="BK507">
        <v>5</v>
      </c>
      <c r="BL507">
        <v>59.42</v>
      </c>
      <c r="BM507">
        <v>8.91</v>
      </c>
      <c r="BN507">
        <v>68.33</v>
      </c>
      <c r="BO507">
        <v>68.33</v>
      </c>
      <c r="BQ507" t="s">
        <v>1221</v>
      </c>
      <c r="BR507" t="s">
        <v>82</v>
      </c>
      <c r="BS507" s="3">
        <v>45996</v>
      </c>
      <c r="BT507" s="4">
        <v>0.43541666666666667</v>
      </c>
      <c r="BU507" t="s">
        <v>1226</v>
      </c>
      <c r="BV507" t="s">
        <v>84</v>
      </c>
      <c r="BY507">
        <v>22835.119999999999</v>
      </c>
      <c r="CA507" t="s">
        <v>319</v>
      </c>
      <c r="CC507" t="s">
        <v>266</v>
      </c>
      <c r="CD507">
        <v>1459</v>
      </c>
      <c r="CE507" t="s">
        <v>134</v>
      </c>
      <c r="CF507" s="3">
        <v>45996</v>
      </c>
      <c r="CI507">
        <v>1</v>
      </c>
      <c r="CJ507">
        <v>1</v>
      </c>
      <c r="CK507">
        <v>22</v>
      </c>
      <c r="CL507" t="s">
        <v>87</v>
      </c>
    </row>
    <row r="508" spans="1:90" x14ac:dyDescent="0.3">
      <c r="A508" t="s">
        <v>72</v>
      </c>
      <c r="B508" t="s">
        <v>73</v>
      </c>
      <c r="C508" t="s">
        <v>74</v>
      </c>
      <c r="E508" t="str">
        <f>"080069672271"</f>
        <v>080069672271</v>
      </c>
      <c r="F508" s="3">
        <v>45995</v>
      </c>
      <c r="G508">
        <v>202609</v>
      </c>
      <c r="H508" t="s">
        <v>75</v>
      </c>
      <c r="I508" t="s">
        <v>76</v>
      </c>
      <c r="J508" t="s">
        <v>77</v>
      </c>
      <c r="K508" t="s">
        <v>78</v>
      </c>
      <c r="L508" t="s">
        <v>156</v>
      </c>
      <c r="M508" t="s">
        <v>157</v>
      </c>
      <c r="N508" t="s">
        <v>261</v>
      </c>
      <c r="O508" t="s">
        <v>89</v>
      </c>
      <c r="P508" t="str">
        <f>"4170071751                    "</f>
        <v xml:space="preserve">4170071751                    </v>
      </c>
      <c r="Q508">
        <v>0</v>
      </c>
      <c r="R508">
        <v>0</v>
      </c>
      <c r="S508">
        <v>0</v>
      </c>
      <c r="T508">
        <v>0</v>
      </c>
      <c r="U508">
        <v>0</v>
      </c>
      <c r="V508">
        <v>0</v>
      </c>
      <c r="W508">
        <v>0</v>
      </c>
      <c r="X508">
        <v>0</v>
      </c>
      <c r="Y508">
        <v>0</v>
      </c>
      <c r="Z508">
        <v>0</v>
      </c>
      <c r="AA508">
        <v>0</v>
      </c>
      <c r="AB508">
        <v>0</v>
      </c>
      <c r="AC508">
        <v>0</v>
      </c>
      <c r="AD508">
        <v>0</v>
      </c>
      <c r="AE508">
        <v>0</v>
      </c>
      <c r="AF508">
        <v>0</v>
      </c>
      <c r="AG508">
        <v>0</v>
      </c>
      <c r="AH508">
        <v>0</v>
      </c>
      <c r="AI508">
        <v>0</v>
      </c>
      <c r="AJ508">
        <v>0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25.52</v>
      </c>
      <c r="AR508">
        <v>0</v>
      </c>
      <c r="AS508">
        <v>0</v>
      </c>
      <c r="AT508">
        <v>0</v>
      </c>
      <c r="AU508">
        <v>0</v>
      </c>
      <c r="AV508">
        <v>0</v>
      </c>
      <c r="AW508">
        <v>0</v>
      </c>
      <c r="AX508">
        <v>0</v>
      </c>
      <c r="AY508">
        <v>0</v>
      </c>
      <c r="AZ508">
        <v>0</v>
      </c>
      <c r="BA508">
        <v>0</v>
      </c>
      <c r="BB508">
        <v>0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1</v>
      </c>
      <c r="BI508">
        <v>1</v>
      </c>
      <c r="BJ508">
        <v>0.2</v>
      </c>
      <c r="BK508">
        <v>1</v>
      </c>
      <c r="BL508">
        <v>76.06</v>
      </c>
      <c r="BM508">
        <v>11.41</v>
      </c>
      <c r="BN508">
        <v>87.47</v>
      </c>
      <c r="BO508">
        <v>87.47</v>
      </c>
      <c r="BQ508" t="s">
        <v>262</v>
      </c>
      <c r="BR508" t="s">
        <v>82</v>
      </c>
      <c r="BS508" s="3">
        <v>45996</v>
      </c>
      <c r="BT508" s="4">
        <v>0.39861111111111114</v>
      </c>
      <c r="BU508" t="s">
        <v>263</v>
      </c>
      <c r="BV508" t="s">
        <v>84</v>
      </c>
      <c r="BY508">
        <v>1200</v>
      </c>
      <c r="CA508" t="s">
        <v>264</v>
      </c>
      <c r="CC508" t="s">
        <v>157</v>
      </c>
      <c r="CD508">
        <v>7441</v>
      </c>
      <c r="CE508" t="s">
        <v>134</v>
      </c>
      <c r="CF508" s="3">
        <v>45999</v>
      </c>
      <c r="CI508">
        <v>1</v>
      </c>
      <c r="CJ508">
        <v>1</v>
      </c>
      <c r="CK508">
        <v>21</v>
      </c>
      <c r="CL508" t="s">
        <v>87</v>
      </c>
    </row>
    <row r="509" spans="1:90" x14ac:dyDescent="0.3">
      <c r="A509" t="s">
        <v>72</v>
      </c>
      <c r="B509" t="s">
        <v>73</v>
      </c>
      <c r="C509" t="s">
        <v>74</v>
      </c>
      <c r="E509" t="str">
        <f>"080069672302"</f>
        <v>080069672302</v>
      </c>
      <c r="F509" s="3">
        <v>45995</v>
      </c>
      <c r="G509">
        <v>202609</v>
      </c>
      <c r="H509" t="s">
        <v>75</v>
      </c>
      <c r="I509" t="s">
        <v>76</v>
      </c>
      <c r="J509" t="s">
        <v>77</v>
      </c>
      <c r="K509" t="s">
        <v>78</v>
      </c>
      <c r="L509" t="s">
        <v>141</v>
      </c>
      <c r="M509" t="s">
        <v>142</v>
      </c>
      <c r="N509" t="s">
        <v>486</v>
      </c>
      <c r="O509" t="s">
        <v>89</v>
      </c>
      <c r="P509" t="str">
        <f>"4170071763                    "</f>
        <v xml:space="preserve">4170071763                    </v>
      </c>
      <c r="Q509">
        <v>0</v>
      </c>
      <c r="R509">
        <v>0</v>
      </c>
      <c r="S509">
        <v>0</v>
      </c>
      <c r="T509">
        <v>0</v>
      </c>
      <c r="U509">
        <v>0</v>
      </c>
      <c r="V509">
        <v>0</v>
      </c>
      <c r="W509">
        <v>0</v>
      </c>
      <c r="X509">
        <v>0</v>
      </c>
      <c r="Y509">
        <v>0</v>
      </c>
      <c r="Z509">
        <v>0</v>
      </c>
      <c r="AA509">
        <v>0</v>
      </c>
      <c r="AB509">
        <v>0</v>
      </c>
      <c r="AC509">
        <v>0</v>
      </c>
      <c r="AD509">
        <v>0</v>
      </c>
      <c r="AE509">
        <v>0</v>
      </c>
      <c r="AF509">
        <v>0</v>
      </c>
      <c r="AG509">
        <v>0</v>
      </c>
      <c r="AH509">
        <v>0</v>
      </c>
      <c r="AI509">
        <v>0</v>
      </c>
      <c r="AJ509">
        <v>0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25.52</v>
      </c>
      <c r="AR509">
        <v>0</v>
      </c>
      <c r="AS509">
        <v>0</v>
      </c>
      <c r="AT509">
        <v>0</v>
      </c>
      <c r="AU509">
        <v>0</v>
      </c>
      <c r="AV509">
        <v>0</v>
      </c>
      <c r="AW509">
        <v>0</v>
      </c>
      <c r="AX509">
        <v>0</v>
      </c>
      <c r="AY509">
        <v>0</v>
      </c>
      <c r="AZ509">
        <v>0</v>
      </c>
      <c r="BA509">
        <v>0</v>
      </c>
      <c r="BB509">
        <v>0</v>
      </c>
      <c r="BC509">
        <v>0</v>
      </c>
      <c r="BD509">
        <v>0</v>
      </c>
      <c r="BE509">
        <v>0</v>
      </c>
      <c r="BF509">
        <v>0</v>
      </c>
      <c r="BG509">
        <v>0</v>
      </c>
      <c r="BH509">
        <v>1</v>
      </c>
      <c r="BI509">
        <v>1</v>
      </c>
      <c r="BJ509">
        <v>0.2</v>
      </c>
      <c r="BK509">
        <v>1</v>
      </c>
      <c r="BL509">
        <v>76.06</v>
      </c>
      <c r="BM509">
        <v>11.41</v>
      </c>
      <c r="BN509">
        <v>87.47</v>
      </c>
      <c r="BO509">
        <v>87.47</v>
      </c>
      <c r="BQ509" t="s">
        <v>487</v>
      </c>
      <c r="BR509" t="s">
        <v>82</v>
      </c>
      <c r="BS509" t="s">
        <v>500</v>
      </c>
      <c r="BY509">
        <v>1200</v>
      </c>
      <c r="CC509" t="s">
        <v>142</v>
      </c>
      <c r="CD509">
        <v>6012</v>
      </c>
      <c r="CE509" t="s">
        <v>134</v>
      </c>
      <c r="CI509">
        <v>1</v>
      </c>
      <c r="CJ509" t="s">
        <v>500</v>
      </c>
      <c r="CK509">
        <v>21</v>
      </c>
      <c r="CL509" t="s">
        <v>87</v>
      </c>
    </row>
    <row r="510" spans="1:90" x14ac:dyDescent="0.3">
      <c r="A510" t="s">
        <v>72</v>
      </c>
      <c r="B510" t="s">
        <v>73</v>
      </c>
      <c r="C510" t="s">
        <v>74</v>
      </c>
      <c r="E510" t="str">
        <f>"080069672319"</f>
        <v>080069672319</v>
      </c>
      <c r="F510" s="3">
        <v>45995</v>
      </c>
      <c r="G510">
        <v>202609</v>
      </c>
      <c r="H510" t="s">
        <v>75</v>
      </c>
      <c r="I510" t="s">
        <v>76</v>
      </c>
      <c r="J510" t="s">
        <v>77</v>
      </c>
      <c r="K510" t="s">
        <v>78</v>
      </c>
      <c r="L510" t="s">
        <v>120</v>
      </c>
      <c r="M510" t="s">
        <v>121</v>
      </c>
      <c r="N510" t="s">
        <v>163</v>
      </c>
      <c r="O510" t="s">
        <v>89</v>
      </c>
      <c r="P510" t="str">
        <f>"4170071912                    "</f>
        <v xml:space="preserve">4170071912                    </v>
      </c>
      <c r="Q510">
        <v>0</v>
      </c>
      <c r="R510">
        <v>0</v>
      </c>
      <c r="S510">
        <v>0</v>
      </c>
      <c r="T510">
        <v>0</v>
      </c>
      <c r="U510">
        <v>0</v>
      </c>
      <c r="V510">
        <v>0</v>
      </c>
      <c r="W510">
        <v>0</v>
      </c>
      <c r="X510">
        <v>0</v>
      </c>
      <c r="Y510">
        <v>0</v>
      </c>
      <c r="Z510">
        <v>0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0</v>
      </c>
      <c r="AG510">
        <v>0</v>
      </c>
      <c r="AH510">
        <v>0</v>
      </c>
      <c r="AI510">
        <v>0</v>
      </c>
      <c r="AJ510">
        <v>0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25.52</v>
      </c>
      <c r="AR510">
        <v>0</v>
      </c>
      <c r="AS510">
        <v>0</v>
      </c>
      <c r="AT510">
        <v>0</v>
      </c>
      <c r="AU510">
        <v>0</v>
      </c>
      <c r="AV510">
        <v>0</v>
      </c>
      <c r="AW510">
        <v>0</v>
      </c>
      <c r="AX510">
        <v>0</v>
      </c>
      <c r="AY510">
        <v>0</v>
      </c>
      <c r="AZ510">
        <v>0</v>
      </c>
      <c r="BA510">
        <v>0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1</v>
      </c>
      <c r="BI510">
        <v>1</v>
      </c>
      <c r="BJ510">
        <v>0.2</v>
      </c>
      <c r="BK510">
        <v>1</v>
      </c>
      <c r="BL510">
        <v>76.06</v>
      </c>
      <c r="BM510">
        <v>11.41</v>
      </c>
      <c r="BN510">
        <v>87.47</v>
      </c>
      <c r="BO510">
        <v>87.47</v>
      </c>
      <c r="BQ510" t="s">
        <v>164</v>
      </c>
      <c r="BR510" t="s">
        <v>82</v>
      </c>
      <c r="BS510" s="3">
        <v>45996</v>
      </c>
      <c r="BT510" s="4">
        <v>0.4</v>
      </c>
      <c r="BU510" t="s">
        <v>165</v>
      </c>
      <c r="BV510" t="s">
        <v>84</v>
      </c>
      <c r="BY510">
        <v>1200</v>
      </c>
      <c r="CA510" t="s">
        <v>126</v>
      </c>
      <c r="CC510" t="s">
        <v>121</v>
      </c>
      <c r="CD510">
        <v>6230</v>
      </c>
      <c r="CE510" t="s">
        <v>134</v>
      </c>
      <c r="CF510" s="3">
        <v>45996</v>
      </c>
      <c r="CI510">
        <v>1</v>
      </c>
      <c r="CJ510">
        <v>1</v>
      </c>
      <c r="CK510">
        <v>21</v>
      </c>
      <c r="CL510" t="s">
        <v>87</v>
      </c>
    </row>
    <row r="511" spans="1:90" x14ac:dyDescent="0.3">
      <c r="A511" t="s">
        <v>72</v>
      </c>
      <c r="B511" t="s">
        <v>73</v>
      </c>
      <c r="C511" t="s">
        <v>74</v>
      </c>
      <c r="E511" t="str">
        <f>"080069672343"</f>
        <v>080069672343</v>
      </c>
      <c r="F511" s="3">
        <v>45995</v>
      </c>
      <c r="G511">
        <v>202609</v>
      </c>
      <c r="H511" t="s">
        <v>75</v>
      </c>
      <c r="I511" t="s">
        <v>76</v>
      </c>
      <c r="J511" t="s">
        <v>77</v>
      </c>
      <c r="K511" t="s">
        <v>78</v>
      </c>
      <c r="L511" t="s">
        <v>141</v>
      </c>
      <c r="M511" t="s">
        <v>142</v>
      </c>
      <c r="N511" t="s">
        <v>801</v>
      </c>
      <c r="O511" t="s">
        <v>89</v>
      </c>
      <c r="P511" t="str">
        <f>"4170071825                    "</f>
        <v xml:space="preserve">4170071825                    </v>
      </c>
      <c r="Q511">
        <v>0</v>
      </c>
      <c r="R511">
        <v>0</v>
      </c>
      <c r="S511">
        <v>0</v>
      </c>
      <c r="T511">
        <v>0</v>
      </c>
      <c r="U511">
        <v>0</v>
      </c>
      <c r="V511">
        <v>0</v>
      </c>
      <c r="W511">
        <v>0</v>
      </c>
      <c r="X511">
        <v>0</v>
      </c>
      <c r="Y511">
        <v>0</v>
      </c>
      <c r="Z511">
        <v>0</v>
      </c>
      <c r="AA511">
        <v>0</v>
      </c>
      <c r="AB511">
        <v>0</v>
      </c>
      <c r="AC511">
        <v>0</v>
      </c>
      <c r="AD511">
        <v>0</v>
      </c>
      <c r="AE511">
        <v>0</v>
      </c>
      <c r="AF511">
        <v>0</v>
      </c>
      <c r="AG511">
        <v>0</v>
      </c>
      <c r="AH511">
        <v>0</v>
      </c>
      <c r="AI511">
        <v>0</v>
      </c>
      <c r="AJ511">
        <v>0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25.52</v>
      </c>
      <c r="AR511">
        <v>0</v>
      </c>
      <c r="AS511">
        <v>0</v>
      </c>
      <c r="AT511">
        <v>0</v>
      </c>
      <c r="AU511">
        <v>0</v>
      </c>
      <c r="AV511">
        <v>0</v>
      </c>
      <c r="AW511">
        <v>0</v>
      </c>
      <c r="AX511">
        <v>0</v>
      </c>
      <c r="AY511">
        <v>0</v>
      </c>
      <c r="AZ511">
        <v>0</v>
      </c>
      <c r="BA511">
        <v>0</v>
      </c>
      <c r="BB511">
        <v>0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1</v>
      </c>
      <c r="BI511">
        <v>1</v>
      </c>
      <c r="BJ511">
        <v>0.2</v>
      </c>
      <c r="BK511">
        <v>1</v>
      </c>
      <c r="BL511">
        <v>76.06</v>
      </c>
      <c r="BM511">
        <v>11.41</v>
      </c>
      <c r="BN511">
        <v>87.47</v>
      </c>
      <c r="BO511">
        <v>87.47</v>
      </c>
      <c r="BQ511" t="s">
        <v>802</v>
      </c>
      <c r="BR511" t="s">
        <v>82</v>
      </c>
      <c r="BS511" s="3">
        <v>45996</v>
      </c>
      <c r="BT511" s="4">
        <v>0.42708333333333331</v>
      </c>
      <c r="BU511" t="s">
        <v>1227</v>
      </c>
      <c r="BV511" t="s">
        <v>84</v>
      </c>
      <c r="BY511">
        <v>1200</v>
      </c>
      <c r="CA511" t="s">
        <v>1228</v>
      </c>
      <c r="CC511" t="s">
        <v>142</v>
      </c>
      <c r="CD511">
        <v>6001</v>
      </c>
      <c r="CE511" t="s">
        <v>134</v>
      </c>
      <c r="CF511" s="3">
        <v>45996</v>
      </c>
      <c r="CI511">
        <v>1</v>
      </c>
      <c r="CJ511">
        <v>1</v>
      </c>
      <c r="CK511">
        <v>21</v>
      </c>
      <c r="CL511" t="s">
        <v>87</v>
      </c>
    </row>
    <row r="512" spans="1:90" x14ac:dyDescent="0.3">
      <c r="A512" t="s">
        <v>72</v>
      </c>
      <c r="B512" t="s">
        <v>73</v>
      </c>
      <c r="C512" t="s">
        <v>74</v>
      </c>
      <c r="E512" t="str">
        <f>"080069672383"</f>
        <v>080069672383</v>
      </c>
      <c r="F512" s="3">
        <v>45995</v>
      </c>
      <c r="G512">
        <v>202609</v>
      </c>
      <c r="H512" t="s">
        <v>75</v>
      </c>
      <c r="I512" t="s">
        <v>76</v>
      </c>
      <c r="J512" t="s">
        <v>77</v>
      </c>
      <c r="K512" t="s">
        <v>78</v>
      </c>
      <c r="L512" t="s">
        <v>283</v>
      </c>
      <c r="M512" t="s">
        <v>284</v>
      </c>
      <c r="N512" t="s">
        <v>285</v>
      </c>
      <c r="O512" t="s">
        <v>89</v>
      </c>
      <c r="P512" t="str">
        <f>"4170071747                    "</f>
        <v xml:space="preserve">4170071747                    </v>
      </c>
      <c r="Q512">
        <v>0</v>
      </c>
      <c r="R512">
        <v>0</v>
      </c>
      <c r="S512">
        <v>0</v>
      </c>
      <c r="T512">
        <v>0</v>
      </c>
      <c r="U512">
        <v>0</v>
      </c>
      <c r="V512">
        <v>0</v>
      </c>
      <c r="W512">
        <v>0</v>
      </c>
      <c r="X512">
        <v>0</v>
      </c>
      <c r="Y512">
        <v>0</v>
      </c>
      <c r="Z512">
        <v>0</v>
      </c>
      <c r="AA512">
        <v>0</v>
      </c>
      <c r="AB512">
        <v>0</v>
      </c>
      <c r="AC512">
        <v>0</v>
      </c>
      <c r="AD512">
        <v>0</v>
      </c>
      <c r="AE512">
        <v>0</v>
      </c>
      <c r="AF512">
        <v>0</v>
      </c>
      <c r="AG512">
        <v>0</v>
      </c>
      <c r="AH512">
        <v>0</v>
      </c>
      <c r="AI512">
        <v>0</v>
      </c>
      <c r="AJ512">
        <v>0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0</v>
      </c>
      <c r="AQ512">
        <v>49.45</v>
      </c>
      <c r="AR512">
        <v>0</v>
      </c>
      <c r="AS512">
        <v>0</v>
      </c>
      <c r="AT512">
        <v>0</v>
      </c>
      <c r="AU512">
        <v>0</v>
      </c>
      <c r="AV512">
        <v>0</v>
      </c>
      <c r="AW512">
        <v>0</v>
      </c>
      <c r="AX512">
        <v>0</v>
      </c>
      <c r="AY512">
        <v>0</v>
      </c>
      <c r="AZ512">
        <v>0</v>
      </c>
      <c r="BA512">
        <v>0</v>
      </c>
      <c r="BB512">
        <v>0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1</v>
      </c>
      <c r="BI512">
        <v>1</v>
      </c>
      <c r="BJ512">
        <v>0.2</v>
      </c>
      <c r="BK512">
        <v>1</v>
      </c>
      <c r="BL512">
        <v>147.38</v>
      </c>
      <c r="BM512">
        <v>22.11</v>
      </c>
      <c r="BN512">
        <v>169.49</v>
      </c>
      <c r="BO512">
        <v>169.49</v>
      </c>
      <c r="BQ512" t="s">
        <v>286</v>
      </c>
      <c r="BR512" t="s">
        <v>82</v>
      </c>
      <c r="BS512" s="3">
        <v>45996</v>
      </c>
      <c r="BT512" s="4">
        <v>0.33750000000000002</v>
      </c>
      <c r="BU512" t="s">
        <v>287</v>
      </c>
      <c r="BV512" t="s">
        <v>84</v>
      </c>
      <c r="BY512">
        <v>1200</v>
      </c>
      <c r="CA512">
        <v>6805135560080</v>
      </c>
      <c r="CC512" t="s">
        <v>284</v>
      </c>
      <c r="CD512">
        <v>1947</v>
      </c>
      <c r="CE512" t="s">
        <v>134</v>
      </c>
      <c r="CF512" s="3">
        <v>45999</v>
      </c>
      <c r="CI512">
        <v>1</v>
      </c>
      <c r="CJ512">
        <v>1</v>
      </c>
      <c r="CK512">
        <v>23</v>
      </c>
      <c r="CL512" t="s">
        <v>87</v>
      </c>
    </row>
    <row r="513" spans="1:90" x14ac:dyDescent="0.3">
      <c r="A513" t="s">
        <v>72</v>
      </c>
      <c r="B513" t="s">
        <v>73</v>
      </c>
      <c r="C513" t="s">
        <v>74</v>
      </c>
      <c r="E513" t="str">
        <f>"080069672379"</f>
        <v>080069672379</v>
      </c>
      <c r="F513" s="3">
        <v>45995</v>
      </c>
      <c r="G513">
        <v>202609</v>
      </c>
      <c r="H513" t="s">
        <v>75</v>
      </c>
      <c r="I513" t="s">
        <v>76</v>
      </c>
      <c r="J513" t="s">
        <v>77</v>
      </c>
      <c r="K513" t="s">
        <v>78</v>
      </c>
      <c r="L513" t="s">
        <v>128</v>
      </c>
      <c r="M513" t="s">
        <v>129</v>
      </c>
      <c r="N513" t="s">
        <v>383</v>
      </c>
      <c r="O513" t="s">
        <v>80</v>
      </c>
      <c r="P513" t="str">
        <f>"4170071765                    "</f>
        <v xml:space="preserve">4170071765                    </v>
      </c>
      <c r="Q513">
        <v>0</v>
      </c>
      <c r="R513">
        <v>0</v>
      </c>
      <c r="S513">
        <v>0</v>
      </c>
      <c r="T513">
        <v>0</v>
      </c>
      <c r="U513">
        <v>0</v>
      </c>
      <c r="V513">
        <v>0</v>
      </c>
      <c r="W513">
        <v>0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0</v>
      </c>
      <c r="AD513">
        <v>0</v>
      </c>
      <c r="AE513">
        <v>0</v>
      </c>
      <c r="AF513">
        <v>0</v>
      </c>
      <c r="AG513">
        <v>0</v>
      </c>
      <c r="AH513">
        <v>0</v>
      </c>
      <c r="AI513">
        <v>0</v>
      </c>
      <c r="AJ513">
        <v>0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55.48</v>
      </c>
      <c r="AR513">
        <v>0</v>
      </c>
      <c r="AS513">
        <v>0</v>
      </c>
      <c r="AT513">
        <v>0</v>
      </c>
      <c r="AU513">
        <v>0</v>
      </c>
      <c r="AV513">
        <v>0</v>
      </c>
      <c r="AW513">
        <v>0</v>
      </c>
      <c r="AX513">
        <v>0</v>
      </c>
      <c r="AY513">
        <v>0</v>
      </c>
      <c r="AZ513">
        <v>0</v>
      </c>
      <c r="BA513">
        <v>0</v>
      </c>
      <c r="BB513">
        <v>0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1</v>
      </c>
      <c r="BI513">
        <v>10</v>
      </c>
      <c r="BJ513">
        <v>17.7</v>
      </c>
      <c r="BK513">
        <v>18</v>
      </c>
      <c r="BL513">
        <v>171.44</v>
      </c>
      <c r="BM513">
        <v>25.72</v>
      </c>
      <c r="BN513">
        <v>197.16</v>
      </c>
      <c r="BO513">
        <v>197.16</v>
      </c>
      <c r="BQ513" t="s">
        <v>384</v>
      </c>
      <c r="BR513" t="s">
        <v>82</v>
      </c>
      <c r="BS513" s="3">
        <v>45999</v>
      </c>
      <c r="BT513" s="4">
        <v>0.4777777777777778</v>
      </c>
      <c r="BU513" t="s">
        <v>359</v>
      </c>
      <c r="BV513" t="s">
        <v>84</v>
      </c>
      <c r="BY513">
        <v>88320</v>
      </c>
      <c r="CA513" t="s">
        <v>188</v>
      </c>
      <c r="CC513" t="s">
        <v>129</v>
      </c>
      <c r="CD513">
        <v>5201</v>
      </c>
      <c r="CE513" t="s">
        <v>86</v>
      </c>
      <c r="CF513" s="3">
        <v>46000</v>
      </c>
      <c r="CI513">
        <v>3</v>
      </c>
      <c r="CJ513">
        <v>2</v>
      </c>
      <c r="CK513">
        <v>41</v>
      </c>
      <c r="CL513" t="s">
        <v>87</v>
      </c>
    </row>
    <row r="514" spans="1:90" x14ac:dyDescent="0.3">
      <c r="A514" t="s">
        <v>72</v>
      </c>
      <c r="B514" t="s">
        <v>73</v>
      </c>
      <c r="C514" t="s">
        <v>74</v>
      </c>
      <c r="E514" t="str">
        <f>"080069672476"</f>
        <v>080069672476</v>
      </c>
      <c r="F514" s="3">
        <v>45995</v>
      </c>
      <c r="G514">
        <v>202609</v>
      </c>
      <c r="H514" t="s">
        <v>75</v>
      </c>
      <c r="I514" t="s">
        <v>76</v>
      </c>
      <c r="J514" t="s">
        <v>77</v>
      </c>
      <c r="K514" t="s">
        <v>78</v>
      </c>
      <c r="L514" t="s">
        <v>302</v>
      </c>
      <c r="M514" t="s">
        <v>303</v>
      </c>
      <c r="N514" t="s">
        <v>678</v>
      </c>
      <c r="O514" t="s">
        <v>89</v>
      </c>
      <c r="P514" t="str">
        <f>"4170071888                    "</f>
        <v xml:space="preserve">4170071888                    </v>
      </c>
      <c r="Q514">
        <v>0</v>
      </c>
      <c r="R514">
        <v>0</v>
      </c>
      <c r="S514">
        <v>0</v>
      </c>
      <c r="T514">
        <v>0</v>
      </c>
      <c r="U514">
        <v>0</v>
      </c>
      <c r="V514">
        <v>0</v>
      </c>
      <c r="W514">
        <v>0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0</v>
      </c>
      <c r="AD514">
        <v>0</v>
      </c>
      <c r="AE514">
        <v>0</v>
      </c>
      <c r="AF514">
        <v>0</v>
      </c>
      <c r="AG514">
        <v>0</v>
      </c>
      <c r="AH514">
        <v>0</v>
      </c>
      <c r="AI514">
        <v>0</v>
      </c>
      <c r="AJ514">
        <v>0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25.52</v>
      </c>
      <c r="AR514">
        <v>0</v>
      </c>
      <c r="AS514">
        <v>0</v>
      </c>
      <c r="AT514">
        <v>0</v>
      </c>
      <c r="AU514">
        <v>0</v>
      </c>
      <c r="AV514">
        <v>0</v>
      </c>
      <c r="AW514">
        <v>0</v>
      </c>
      <c r="AX514">
        <v>0</v>
      </c>
      <c r="AY514">
        <v>0</v>
      </c>
      <c r="AZ514">
        <v>0</v>
      </c>
      <c r="BA514">
        <v>0</v>
      </c>
      <c r="BB514">
        <v>0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1</v>
      </c>
      <c r="BI514">
        <v>1</v>
      </c>
      <c r="BJ514">
        <v>0.2</v>
      </c>
      <c r="BK514">
        <v>1</v>
      </c>
      <c r="BL514">
        <v>76.06</v>
      </c>
      <c r="BM514">
        <v>11.41</v>
      </c>
      <c r="BN514">
        <v>87.47</v>
      </c>
      <c r="BO514">
        <v>87.47</v>
      </c>
      <c r="BQ514" t="s">
        <v>1222</v>
      </c>
      <c r="BR514" t="s">
        <v>82</v>
      </c>
      <c r="BS514" s="3">
        <v>45996</v>
      </c>
      <c r="BT514" s="4">
        <v>0.43611111111111112</v>
      </c>
      <c r="BU514" t="s">
        <v>1229</v>
      </c>
      <c r="BV514" t="s">
        <v>84</v>
      </c>
      <c r="BY514">
        <v>1200</v>
      </c>
      <c r="CA514">
        <v>8303236124087</v>
      </c>
      <c r="CC514" t="s">
        <v>303</v>
      </c>
      <c r="CD514" s="5" t="s">
        <v>307</v>
      </c>
      <c r="CE514" t="s">
        <v>134</v>
      </c>
      <c r="CF514" s="3">
        <v>45996</v>
      </c>
      <c r="CI514">
        <v>1</v>
      </c>
      <c r="CJ514">
        <v>1</v>
      </c>
      <c r="CK514">
        <v>21</v>
      </c>
      <c r="CL514" t="s">
        <v>87</v>
      </c>
    </row>
    <row r="515" spans="1:90" x14ac:dyDescent="0.3">
      <c r="A515" t="s">
        <v>72</v>
      </c>
      <c r="B515" t="s">
        <v>73</v>
      </c>
      <c r="C515" t="s">
        <v>74</v>
      </c>
      <c r="E515" t="str">
        <f>"080069672533"</f>
        <v>080069672533</v>
      </c>
      <c r="F515" s="3">
        <v>45995</v>
      </c>
      <c r="G515">
        <v>202609</v>
      </c>
      <c r="H515" t="s">
        <v>75</v>
      </c>
      <c r="I515" t="s">
        <v>76</v>
      </c>
      <c r="J515" t="s">
        <v>77</v>
      </c>
      <c r="K515" t="s">
        <v>78</v>
      </c>
      <c r="L515" t="s">
        <v>141</v>
      </c>
      <c r="M515" t="s">
        <v>142</v>
      </c>
      <c r="N515" t="s">
        <v>568</v>
      </c>
      <c r="O515" t="s">
        <v>89</v>
      </c>
      <c r="P515" t="str">
        <f>"4170071826                    "</f>
        <v xml:space="preserve">4170071826                    </v>
      </c>
      <c r="Q515">
        <v>0</v>
      </c>
      <c r="R515">
        <v>0</v>
      </c>
      <c r="S515">
        <v>0</v>
      </c>
      <c r="T515">
        <v>0</v>
      </c>
      <c r="U515">
        <v>0</v>
      </c>
      <c r="V515">
        <v>0</v>
      </c>
      <c r="W515">
        <v>0</v>
      </c>
      <c r="X515">
        <v>0</v>
      </c>
      <c r="Y515">
        <v>0</v>
      </c>
      <c r="Z515">
        <v>0</v>
      </c>
      <c r="AA515">
        <v>0</v>
      </c>
      <c r="AB515">
        <v>0</v>
      </c>
      <c r="AC515">
        <v>0</v>
      </c>
      <c r="AD515">
        <v>0</v>
      </c>
      <c r="AE515">
        <v>0</v>
      </c>
      <c r="AF515">
        <v>0</v>
      </c>
      <c r="AG515">
        <v>0</v>
      </c>
      <c r="AH515">
        <v>0</v>
      </c>
      <c r="AI515">
        <v>0</v>
      </c>
      <c r="AJ515">
        <v>0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25.52</v>
      </c>
      <c r="AR515">
        <v>0</v>
      </c>
      <c r="AS515">
        <v>0</v>
      </c>
      <c r="AT515">
        <v>0</v>
      </c>
      <c r="AU515">
        <v>0</v>
      </c>
      <c r="AV515">
        <v>0</v>
      </c>
      <c r="AW515">
        <v>0</v>
      </c>
      <c r="AX515">
        <v>0</v>
      </c>
      <c r="AY515">
        <v>0</v>
      </c>
      <c r="AZ515">
        <v>0</v>
      </c>
      <c r="BA515">
        <v>0</v>
      </c>
      <c r="BB515">
        <v>0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1</v>
      </c>
      <c r="BI515">
        <v>1</v>
      </c>
      <c r="BJ515">
        <v>0.2</v>
      </c>
      <c r="BK515">
        <v>1</v>
      </c>
      <c r="BL515">
        <v>76.06</v>
      </c>
      <c r="BM515">
        <v>11.41</v>
      </c>
      <c r="BN515">
        <v>87.47</v>
      </c>
      <c r="BO515">
        <v>87.47</v>
      </c>
      <c r="BQ515" t="s">
        <v>569</v>
      </c>
      <c r="BR515" t="s">
        <v>82</v>
      </c>
      <c r="BS515" s="3">
        <v>45996</v>
      </c>
      <c r="BT515" s="4">
        <v>0.42708333333333331</v>
      </c>
      <c r="BU515" t="s">
        <v>1172</v>
      </c>
      <c r="BV515" t="s">
        <v>84</v>
      </c>
      <c r="BY515">
        <v>1200</v>
      </c>
      <c r="CA515" t="s">
        <v>571</v>
      </c>
      <c r="CC515" t="s">
        <v>142</v>
      </c>
      <c r="CD515">
        <v>6056</v>
      </c>
      <c r="CE515" t="s">
        <v>134</v>
      </c>
      <c r="CF515" s="3">
        <v>45996</v>
      </c>
      <c r="CI515">
        <v>1</v>
      </c>
      <c r="CJ515">
        <v>1</v>
      </c>
      <c r="CK515">
        <v>21</v>
      </c>
      <c r="CL515" t="s">
        <v>87</v>
      </c>
    </row>
    <row r="516" spans="1:90" x14ac:dyDescent="0.3">
      <c r="A516" t="s">
        <v>72</v>
      </c>
      <c r="B516" t="s">
        <v>73</v>
      </c>
      <c r="C516" t="s">
        <v>74</v>
      </c>
      <c r="E516" t="str">
        <f>"080069672539"</f>
        <v>080069672539</v>
      </c>
      <c r="F516" s="3">
        <v>45995</v>
      </c>
      <c r="G516">
        <v>202609</v>
      </c>
      <c r="H516" t="s">
        <v>75</v>
      </c>
      <c r="I516" t="s">
        <v>76</v>
      </c>
      <c r="J516" t="s">
        <v>77</v>
      </c>
      <c r="K516" t="s">
        <v>78</v>
      </c>
      <c r="L516" t="s">
        <v>698</v>
      </c>
      <c r="M516" t="s">
        <v>698</v>
      </c>
      <c r="N516" t="s">
        <v>543</v>
      </c>
      <c r="O516" t="s">
        <v>89</v>
      </c>
      <c r="P516" t="str">
        <f>"4170071721                    "</f>
        <v xml:space="preserve">4170071721                    </v>
      </c>
      <c r="Q516">
        <v>0</v>
      </c>
      <c r="R516">
        <v>0</v>
      </c>
      <c r="S516">
        <v>0</v>
      </c>
      <c r="T516">
        <v>0</v>
      </c>
      <c r="U516">
        <v>0</v>
      </c>
      <c r="V516">
        <v>0</v>
      </c>
      <c r="W516">
        <v>0</v>
      </c>
      <c r="X516">
        <v>0</v>
      </c>
      <c r="Y516">
        <v>0</v>
      </c>
      <c r="Z516">
        <v>0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0</v>
      </c>
      <c r="AI516">
        <v>0</v>
      </c>
      <c r="AJ516">
        <v>0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62.12</v>
      </c>
      <c r="AR516">
        <v>0</v>
      </c>
      <c r="AS516">
        <v>0</v>
      </c>
      <c r="AT516">
        <v>0</v>
      </c>
      <c r="AU516">
        <v>0</v>
      </c>
      <c r="AV516">
        <v>0</v>
      </c>
      <c r="AW516">
        <v>0</v>
      </c>
      <c r="AX516">
        <v>0</v>
      </c>
      <c r="AY516">
        <v>0</v>
      </c>
      <c r="AZ516">
        <v>0</v>
      </c>
      <c r="BA516">
        <v>0</v>
      </c>
      <c r="BB516">
        <v>0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1</v>
      </c>
      <c r="BI516">
        <v>3.1</v>
      </c>
      <c r="BJ516">
        <v>1.4</v>
      </c>
      <c r="BK516">
        <v>3.5</v>
      </c>
      <c r="BL516">
        <v>185.13</v>
      </c>
      <c r="BM516">
        <v>27.77</v>
      </c>
      <c r="BN516">
        <v>212.9</v>
      </c>
      <c r="BO516">
        <v>212.9</v>
      </c>
      <c r="BQ516" t="s">
        <v>544</v>
      </c>
      <c r="BR516" t="s">
        <v>82</v>
      </c>
      <c r="BS516" s="3">
        <v>45996</v>
      </c>
      <c r="BT516" s="4">
        <v>0.41666666666666669</v>
      </c>
      <c r="BU516" t="s">
        <v>1230</v>
      </c>
      <c r="BV516" t="s">
        <v>84</v>
      </c>
      <c r="BY516">
        <v>6949.44</v>
      </c>
      <c r="CA516" t="s">
        <v>1231</v>
      </c>
      <c r="CC516" t="s">
        <v>698</v>
      </c>
      <c r="CD516">
        <v>1491</v>
      </c>
      <c r="CE516" t="s">
        <v>86</v>
      </c>
      <c r="CF516" s="3">
        <v>45996</v>
      </c>
      <c r="CI516">
        <v>1</v>
      </c>
      <c r="CJ516">
        <v>1</v>
      </c>
      <c r="CK516">
        <v>24</v>
      </c>
      <c r="CL516" t="s">
        <v>87</v>
      </c>
    </row>
    <row r="517" spans="1:90" x14ac:dyDescent="0.3">
      <c r="A517" t="s">
        <v>72</v>
      </c>
      <c r="B517" t="s">
        <v>73</v>
      </c>
      <c r="C517" t="s">
        <v>74</v>
      </c>
      <c r="E517" t="str">
        <f>"080069672602"</f>
        <v>080069672602</v>
      </c>
      <c r="F517" s="3">
        <v>45995</v>
      </c>
      <c r="G517">
        <v>202609</v>
      </c>
      <c r="H517" t="s">
        <v>75</v>
      </c>
      <c r="I517" t="s">
        <v>76</v>
      </c>
      <c r="J517" t="s">
        <v>77</v>
      </c>
      <c r="K517" t="s">
        <v>78</v>
      </c>
      <c r="L517" t="s">
        <v>141</v>
      </c>
      <c r="M517" t="s">
        <v>142</v>
      </c>
      <c r="N517" t="s">
        <v>568</v>
      </c>
      <c r="O517" t="s">
        <v>89</v>
      </c>
      <c r="P517" t="str">
        <f>"4170071823                    "</f>
        <v xml:space="preserve">4170071823                    </v>
      </c>
      <c r="Q517">
        <v>0</v>
      </c>
      <c r="R517">
        <v>0</v>
      </c>
      <c r="S517">
        <v>0</v>
      </c>
      <c r="T517">
        <v>0</v>
      </c>
      <c r="U517">
        <v>0</v>
      </c>
      <c r="V517">
        <v>0</v>
      </c>
      <c r="W517">
        <v>0</v>
      </c>
      <c r="X517">
        <v>0</v>
      </c>
      <c r="Y517">
        <v>0</v>
      </c>
      <c r="Z517">
        <v>0</v>
      </c>
      <c r="AA517">
        <v>0</v>
      </c>
      <c r="AB517">
        <v>0</v>
      </c>
      <c r="AC517">
        <v>0</v>
      </c>
      <c r="AD517">
        <v>0</v>
      </c>
      <c r="AE517">
        <v>0</v>
      </c>
      <c r="AF517">
        <v>0</v>
      </c>
      <c r="AG517">
        <v>0</v>
      </c>
      <c r="AH517">
        <v>0</v>
      </c>
      <c r="AI517">
        <v>0</v>
      </c>
      <c r="AJ517">
        <v>0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25.52</v>
      </c>
      <c r="AR517">
        <v>0</v>
      </c>
      <c r="AS517">
        <v>0</v>
      </c>
      <c r="AT517">
        <v>0</v>
      </c>
      <c r="AU517">
        <v>0</v>
      </c>
      <c r="AV517">
        <v>0</v>
      </c>
      <c r="AW517">
        <v>0</v>
      </c>
      <c r="AX517">
        <v>0</v>
      </c>
      <c r="AY517">
        <v>0</v>
      </c>
      <c r="AZ517">
        <v>0</v>
      </c>
      <c r="BA517">
        <v>0</v>
      </c>
      <c r="BB517">
        <v>0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1</v>
      </c>
      <c r="BI517">
        <v>1</v>
      </c>
      <c r="BJ517">
        <v>0.2</v>
      </c>
      <c r="BK517">
        <v>1</v>
      </c>
      <c r="BL517">
        <v>76.06</v>
      </c>
      <c r="BM517">
        <v>11.41</v>
      </c>
      <c r="BN517">
        <v>87.47</v>
      </c>
      <c r="BO517">
        <v>87.47</v>
      </c>
      <c r="BQ517" t="s">
        <v>569</v>
      </c>
      <c r="BR517" t="s">
        <v>82</v>
      </c>
      <c r="BS517" s="3">
        <v>45996</v>
      </c>
      <c r="BT517" s="4">
        <v>0.42708333333333331</v>
      </c>
      <c r="BU517" t="s">
        <v>1172</v>
      </c>
      <c r="BV517" t="s">
        <v>84</v>
      </c>
      <c r="BY517">
        <v>1200</v>
      </c>
      <c r="CA517" t="s">
        <v>571</v>
      </c>
      <c r="CC517" t="s">
        <v>142</v>
      </c>
      <c r="CD517">
        <v>6056</v>
      </c>
      <c r="CE517" t="s">
        <v>134</v>
      </c>
      <c r="CF517" s="3">
        <v>45996</v>
      </c>
      <c r="CI517">
        <v>1</v>
      </c>
      <c r="CJ517">
        <v>1</v>
      </c>
      <c r="CK517">
        <v>21</v>
      </c>
      <c r="CL517" t="s">
        <v>87</v>
      </c>
    </row>
    <row r="518" spans="1:90" x14ac:dyDescent="0.3">
      <c r="A518" t="s">
        <v>72</v>
      </c>
      <c r="B518" t="s">
        <v>73</v>
      </c>
      <c r="C518" t="s">
        <v>74</v>
      </c>
      <c r="E518" t="str">
        <f>"080069672629"</f>
        <v>080069672629</v>
      </c>
      <c r="F518" s="3">
        <v>45995</v>
      </c>
      <c r="G518">
        <v>202609</v>
      </c>
      <c r="H518" t="s">
        <v>75</v>
      </c>
      <c r="I518" t="s">
        <v>76</v>
      </c>
      <c r="J518" t="s">
        <v>77</v>
      </c>
      <c r="K518" t="s">
        <v>78</v>
      </c>
      <c r="L518" t="s">
        <v>302</v>
      </c>
      <c r="M518" t="s">
        <v>303</v>
      </c>
      <c r="N518" t="s">
        <v>822</v>
      </c>
      <c r="O518" t="s">
        <v>80</v>
      </c>
      <c r="P518" t="str">
        <f>"4170071761                    "</f>
        <v xml:space="preserve">4170071761                    </v>
      </c>
      <c r="Q518">
        <v>0</v>
      </c>
      <c r="R518">
        <v>0</v>
      </c>
      <c r="S518">
        <v>0</v>
      </c>
      <c r="T518">
        <v>0</v>
      </c>
      <c r="U518">
        <v>0</v>
      </c>
      <c r="V518">
        <v>0</v>
      </c>
      <c r="W518">
        <v>0</v>
      </c>
      <c r="X518">
        <v>0</v>
      </c>
      <c r="Y518">
        <v>0</v>
      </c>
      <c r="Z518">
        <v>0</v>
      </c>
      <c r="AA518">
        <v>0</v>
      </c>
      <c r="AB518">
        <v>0</v>
      </c>
      <c r="AC518">
        <v>0</v>
      </c>
      <c r="AD518">
        <v>0</v>
      </c>
      <c r="AE518">
        <v>0</v>
      </c>
      <c r="AF518">
        <v>0</v>
      </c>
      <c r="AG518">
        <v>0</v>
      </c>
      <c r="AH518">
        <v>0</v>
      </c>
      <c r="AI518">
        <v>0</v>
      </c>
      <c r="AJ518">
        <v>0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49.36</v>
      </c>
      <c r="AR518">
        <v>0</v>
      </c>
      <c r="AS518">
        <v>0</v>
      </c>
      <c r="AT518">
        <v>0</v>
      </c>
      <c r="AU518">
        <v>0</v>
      </c>
      <c r="AV518">
        <v>0</v>
      </c>
      <c r="AW518">
        <v>0</v>
      </c>
      <c r="AX518">
        <v>0</v>
      </c>
      <c r="AY518">
        <v>0</v>
      </c>
      <c r="AZ518">
        <v>0</v>
      </c>
      <c r="BA518">
        <v>0</v>
      </c>
      <c r="BB518">
        <v>0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1</v>
      </c>
      <c r="BI518">
        <v>3.8</v>
      </c>
      <c r="BJ518">
        <v>1.3</v>
      </c>
      <c r="BK518">
        <v>4</v>
      </c>
      <c r="BL518">
        <v>153.19999999999999</v>
      </c>
      <c r="BM518">
        <v>22.98</v>
      </c>
      <c r="BN518">
        <v>176.18</v>
      </c>
      <c r="BO518">
        <v>176.18</v>
      </c>
      <c r="BQ518" t="s">
        <v>823</v>
      </c>
      <c r="BR518" t="s">
        <v>82</v>
      </c>
      <c r="BS518" s="3">
        <v>45996</v>
      </c>
      <c r="BT518" s="4">
        <v>0.43402777777777779</v>
      </c>
      <c r="BU518" t="s">
        <v>1232</v>
      </c>
      <c r="BV518" t="s">
        <v>84</v>
      </c>
      <c r="BY518">
        <v>6498</v>
      </c>
      <c r="CA518">
        <v>9401036069087</v>
      </c>
      <c r="CC518" t="s">
        <v>303</v>
      </c>
      <c r="CD518" s="5" t="s">
        <v>1233</v>
      </c>
      <c r="CE518" t="s">
        <v>86</v>
      </c>
      <c r="CF518" s="3">
        <v>45996</v>
      </c>
      <c r="CI518">
        <v>1</v>
      </c>
      <c r="CJ518">
        <v>1</v>
      </c>
      <c r="CK518">
        <v>41</v>
      </c>
      <c r="CL518" t="s">
        <v>87</v>
      </c>
    </row>
    <row r="519" spans="1:90" x14ac:dyDescent="0.3">
      <c r="A519" t="s">
        <v>72</v>
      </c>
      <c r="B519" t="s">
        <v>73</v>
      </c>
      <c r="C519" t="s">
        <v>74</v>
      </c>
      <c r="E519" t="str">
        <f>"080069672656"</f>
        <v>080069672656</v>
      </c>
      <c r="F519" s="3">
        <v>45995</v>
      </c>
      <c r="G519">
        <v>202609</v>
      </c>
      <c r="H519" t="s">
        <v>75</v>
      </c>
      <c r="I519" t="s">
        <v>76</v>
      </c>
      <c r="J519" t="s">
        <v>77</v>
      </c>
      <c r="K519" t="s">
        <v>78</v>
      </c>
      <c r="L519" t="s">
        <v>100</v>
      </c>
      <c r="M519" t="s">
        <v>101</v>
      </c>
      <c r="N519" t="s">
        <v>498</v>
      </c>
      <c r="O519" t="s">
        <v>89</v>
      </c>
      <c r="P519" t="str">
        <f>"4170071876                    "</f>
        <v xml:space="preserve">4170071876                    </v>
      </c>
      <c r="Q519">
        <v>0</v>
      </c>
      <c r="R519">
        <v>0</v>
      </c>
      <c r="S519">
        <v>0</v>
      </c>
      <c r="T519">
        <v>0</v>
      </c>
      <c r="U519">
        <v>0</v>
      </c>
      <c r="V519">
        <v>0</v>
      </c>
      <c r="W519">
        <v>0</v>
      </c>
      <c r="X519">
        <v>0</v>
      </c>
      <c r="Y519">
        <v>0</v>
      </c>
      <c r="Z519">
        <v>0</v>
      </c>
      <c r="AA519">
        <v>0</v>
      </c>
      <c r="AB519">
        <v>0</v>
      </c>
      <c r="AC519">
        <v>0</v>
      </c>
      <c r="AD519">
        <v>0</v>
      </c>
      <c r="AE519">
        <v>0</v>
      </c>
      <c r="AF519">
        <v>0</v>
      </c>
      <c r="AG519">
        <v>0</v>
      </c>
      <c r="AH519">
        <v>0</v>
      </c>
      <c r="AI519">
        <v>0</v>
      </c>
      <c r="AJ519">
        <v>0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25.52</v>
      </c>
      <c r="AR519">
        <v>0</v>
      </c>
      <c r="AS519">
        <v>0</v>
      </c>
      <c r="AT519">
        <v>0</v>
      </c>
      <c r="AU519">
        <v>0</v>
      </c>
      <c r="AV519">
        <v>0</v>
      </c>
      <c r="AW519">
        <v>0</v>
      </c>
      <c r="AX519">
        <v>0</v>
      </c>
      <c r="AY519">
        <v>0</v>
      </c>
      <c r="AZ519">
        <v>0</v>
      </c>
      <c r="BA519">
        <v>0</v>
      </c>
      <c r="BB519">
        <v>0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1</v>
      </c>
      <c r="BI519">
        <v>1</v>
      </c>
      <c r="BJ519">
        <v>0.2</v>
      </c>
      <c r="BK519">
        <v>1</v>
      </c>
      <c r="BL519">
        <v>76.06</v>
      </c>
      <c r="BM519">
        <v>11.41</v>
      </c>
      <c r="BN519">
        <v>87.47</v>
      </c>
      <c r="BO519">
        <v>87.47</v>
      </c>
      <c r="BQ519" t="s">
        <v>499</v>
      </c>
      <c r="BR519" t="s">
        <v>82</v>
      </c>
      <c r="BS519" s="3">
        <v>45996</v>
      </c>
      <c r="BT519" s="4">
        <v>0.73055555555555551</v>
      </c>
      <c r="BU519" t="s">
        <v>1234</v>
      </c>
      <c r="BV519" t="s">
        <v>87</v>
      </c>
      <c r="BW519" t="s">
        <v>246</v>
      </c>
      <c r="BX519" t="s">
        <v>106</v>
      </c>
      <c r="BY519">
        <v>1200</v>
      </c>
      <c r="CA519" t="s">
        <v>248</v>
      </c>
      <c r="CC519" t="s">
        <v>101</v>
      </c>
      <c r="CD519">
        <v>4052</v>
      </c>
      <c r="CE519" t="s">
        <v>134</v>
      </c>
      <c r="CF519" s="3">
        <v>45996</v>
      </c>
      <c r="CI519">
        <v>1</v>
      </c>
      <c r="CJ519">
        <v>1</v>
      </c>
      <c r="CK519">
        <v>21</v>
      </c>
      <c r="CL519" t="s">
        <v>87</v>
      </c>
    </row>
    <row r="520" spans="1:90" x14ac:dyDescent="0.3">
      <c r="A520" t="s">
        <v>72</v>
      </c>
      <c r="B520" t="s">
        <v>73</v>
      </c>
      <c r="C520" t="s">
        <v>74</v>
      </c>
      <c r="E520" t="str">
        <f>"080069672700"</f>
        <v>080069672700</v>
      </c>
      <c r="F520" s="3">
        <v>45995</v>
      </c>
      <c r="G520">
        <v>202609</v>
      </c>
      <c r="H520" t="s">
        <v>75</v>
      </c>
      <c r="I520" t="s">
        <v>76</v>
      </c>
      <c r="J520" t="s">
        <v>77</v>
      </c>
      <c r="K520" t="s">
        <v>78</v>
      </c>
      <c r="L520" t="s">
        <v>202</v>
      </c>
      <c r="M520" t="s">
        <v>203</v>
      </c>
      <c r="N520" t="s">
        <v>204</v>
      </c>
      <c r="O520" t="s">
        <v>89</v>
      </c>
      <c r="P520" t="str">
        <f>"4170071812                    "</f>
        <v xml:space="preserve">4170071812                    </v>
      </c>
      <c r="Q520">
        <v>0</v>
      </c>
      <c r="R520">
        <v>0</v>
      </c>
      <c r="S520">
        <v>0</v>
      </c>
      <c r="T520">
        <v>0</v>
      </c>
      <c r="U520">
        <v>0</v>
      </c>
      <c r="V520">
        <v>0</v>
      </c>
      <c r="W520">
        <v>0</v>
      </c>
      <c r="X520">
        <v>0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0</v>
      </c>
      <c r="AE520">
        <v>0</v>
      </c>
      <c r="AF520">
        <v>0</v>
      </c>
      <c r="AG520">
        <v>0</v>
      </c>
      <c r="AH520">
        <v>0</v>
      </c>
      <c r="AI520">
        <v>0</v>
      </c>
      <c r="AJ520">
        <v>0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49.45</v>
      </c>
      <c r="AR520">
        <v>0</v>
      </c>
      <c r="AS520">
        <v>0</v>
      </c>
      <c r="AT520">
        <v>0</v>
      </c>
      <c r="AU520">
        <v>0</v>
      </c>
      <c r="AV520">
        <v>0</v>
      </c>
      <c r="AW520">
        <v>0</v>
      </c>
      <c r="AX520">
        <v>0</v>
      </c>
      <c r="AY520">
        <v>0</v>
      </c>
      <c r="AZ520">
        <v>0</v>
      </c>
      <c r="BA520">
        <v>0</v>
      </c>
      <c r="BB520">
        <v>0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1</v>
      </c>
      <c r="BI520">
        <v>0.2</v>
      </c>
      <c r="BJ520">
        <v>1.5</v>
      </c>
      <c r="BK520">
        <v>1.5</v>
      </c>
      <c r="BL520">
        <v>147.38</v>
      </c>
      <c r="BM520">
        <v>22.11</v>
      </c>
      <c r="BN520">
        <v>169.49</v>
      </c>
      <c r="BO520">
        <v>169.49</v>
      </c>
      <c r="BQ520" t="s">
        <v>205</v>
      </c>
      <c r="BR520" t="s">
        <v>82</v>
      </c>
      <c r="BS520" s="3">
        <v>45996</v>
      </c>
      <c r="BT520" s="4">
        <v>0.40208333333333335</v>
      </c>
      <c r="BU520" t="s">
        <v>1235</v>
      </c>
      <c r="BV520" t="s">
        <v>84</v>
      </c>
      <c r="BY520">
        <v>7322.4</v>
      </c>
      <c r="CA520">
        <v>7908245451080</v>
      </c>
      <c r="CC520" t="s">
        <v>203</v>
      </c>
      <c r="CD520">
        <v>2531</v>
      </c>
      <c r="CE520" t="s">
        <v>134</v>
      </c>
      <c r="CF520" s="3">
        <v>45999</v>
      </c>
      <c r="CI520">
        <v>1</v>
      </c>
      <c r="CJ520">
        <v>1</v>
      </c>
      <c r="CK520">
        <v>23</v>
      </c>
      <c r="CL520" t="s">
        <v>87</v>
      </c>
    </row>
    <row r="521" spans="1:90" x14ac:dyDescent="0.3">
      <c r="A521" t="s">
        <v>72</v>
      </c>
      <c r="B521" t="s">
        <v>73</v>
      </c>
      <c r="C521" t="s">
        <v>74</v>
      </c>
      <c r="E521" t="str">
        <f>"080069672771"</f>
        <v>080069672771</v>
      </c>
      <c r="F521" s="3">
        <v>45995</v>
      </c>
      <c r="G521">
        <v>202609</v>
      </c>
      <c r="H521" t="s">
        <v>75</v>
      </c>
      <c r="I521" t="s">
        <v>76</v>
      </c>
      <c r="J521" t="s">
        <v>77</v>
      </c>
      <c r="K521" t="s">
        <v>78</v>
      </c>
      <c r="L521" t="s">
        <v>75</v>
      </c>
      <c r="M521" t="s">
        <v>76</v>
      </c>
      <c r="N521" t="s">
        <v>1236</v>
      </c>
      <c r="O521" t="s">
        <v>89</v>
      </c>
      <c r="P521" t="str">
        <f>"4170071873                    "</f>
        <v xml:space="preserve">4170071873                    </v>
      </c>
      <c r="Q521">
        <v>0</v>
      </c>
      <c r="R521">
        <v>0</v>
      </c>
      <c r="S521">
        <v>0</v>
      </c>
      <c r="T521">
        <v>0</v>
      </c>
      <c r="U521">
        <v>0</v>
      </c>
      <c r="V521">
        <v>0</v>
      </c>
      <c r="W521">
        <v>0</v>
      </c>
      <c r="X521">
        <v>0</v>
      </c>
      <c r="Y521">
        <v>0</v>
      </c>
      <c r="Z521">
        <v>0</v>
      </c>
      <c r="AA521">
        <v>0</v>
      </c>
      <c r="AB521">
        <v>0</v>
      </c>
      <c r="AC521">
        <v>0</v>
      </c>
      <c r="AD521">
        <v>0</v>
      </c>
      <c r="AE521">
        <v>0</v>
      </c>
      <c r="AF521">
        <v>0</v>
      </c>
      <c r="AG521">
        <v>0</v>
      </c>
      <c r="AH521">
        <v>0</v>
      </c>
      <c r="AI521">
        <v>0</v>
      </c>
      <c r="AJ521">
        <v>0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19.940000000000001</v>
      </c>
      <c r="AR521">
        <v>0</v>
      </c>
      <c r="AS521">
        <v>0</v>
      </c>
      <c r="AT521">
        <v>0</v>
      </c>
      <c r="AU521">
        <v>0</v>
      </c>
      <c r="AV521">
        <v>0</v>
      </c>
      <c r="AW521">
        <v>0</v>
      </c>
      <c r="AX521">
        <v>0</v>
      </c>
      <c r="AY521">
        <v>0</v>
      </c>
      <c r="AZ521">
        <v>0</v>
      </c>
      <c r="BA521">
        <v>0</v>
      </c>
      <c r="BB521">
        <v>0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1</v>
      </c>
      <c r="BI521">
        <v>0.2</v>
      </c>
      <c r="BJ521">
        <v>1</v>
      </c>
      <c r="BK521">
        <v>1</v>
      </c>
      <c r="BL521">
        <v>59.42</v>
      </c>
      <c r="BM521">
        <v>8.91</v>
      </c>
      <c r="BN521">
        <v>68.33</v>
      </c>
      <c r="BO521">
        <v>68.33</v>
      </c>
      <c r="BQ521" t="s">
        <v>1237</v>
      </c>
      <c r="BR521" t="s">
        <v>82</v>
      </c>
      <c r="BS521" s="3">
        <v>45996</v>
      </c>
      <c r="BT521" s="4">
        <v>0.34930555555555554</v>
      </c>
      <c r="BU521" t="s">
        <v>83</v>
      </c>
      <c r="BV521" t="s">
        <v>84</v>
      </c>
      <c r="BY521">
        <v>5146.74</v>
      </c>
      <c r="CA521" t="s">
        <v>85</v>
      </c>
      <c r="CC521" t="s">
        <v>76</v>
      </c>
      <c r="CD521">
        <v>1619</v>
      </c>
      <c r="CE521" t="s">
        <v>134</v>
      </c>
      <c r="CF521" s="3">
        <v>45997</v>
      </c>
      <c r="CI521">
        <v>1</v>
      </c>
      <c r="CJ521">
        <v>1</v>
      </c>
      <c r="CK521">
        <v>22</v>
      </c>
      <c r="CL521" t="s">
        <v>87</v>
      </c>
    </row>
    <row r="522" spans="1:90" x14ac:dyDescent="0.3">
      <c r="A522" t="s">
        <v>72</v>
      </c>
      <c r="B522" t="s">
        <v>73</v>
      </c>
      <c r="C522" t="s">
        <v>74</v>
      </c>
      <c r="E522" t="str">
        <f>"080069672865"</f>
        <v>080069672865</v>
      </c>
      <c r="F522" s="3">
        <v>45995</v>
      </c>
      <c r="G522">
        <v>202609</v>
      </c>
      <c r="H522" t="s">
        <v>75</v>
      </c>
      <c r="I522" t="s">
        <v>76</v>
      </c>
      <c r="J522" t="s">
        <v>77</v>
      </c>
      <c r="K522" t="s">
        <v>78</v>
      </c>
      <c r="L522" t="s">
        <v>535</v>
      </c>
      <c r="M522" t="s">
        <v>535</v>
      </c>
      <c r="N522" t="s">
        <v>556</v>
      </c>
      <c r="O522" t="s">
        <v>89</v>
      </c>
      <c r="P522" t="str">
        <f>"4170071878                    "</f>
        <v xml:space="preserve">4170071878                    </v>
      </c>
      <c r="Q522">
        <v>0</v>
      </c>
      <c r="R522">
        <v>0</v>
      </c>
      <c r="S522">
        <v>0</v>
      </c>
      <c r="T522">
        <v>0</v>
      </c>
      <c r="U522">
        <v>0</v>
      </c>
      <c r="V522">
        <v>0</v>
      </c>
      <c r="W522">
        <v>0</v>
      </c>
      <c r="X522">
        <v>0</v>
      </c>
      <c r="Y522">
        <v>0</v>
      </c>
      <c r="Z522">
        <v>0</v>
      </c>
      <c r="AA522">
        <v>0</v>
      </c>
      <c r="AB522">
        <v>0</v>
      </c>
      <c r="AC522">
        <v>0</v>
      </c>
      <c r="AD522">
        <v>0</v>
      </c>
      <c r="AE522">
        <v>0</v>
      </c>
      <c r="AF522">
        <v>0</v>
      </c>
      <c r="AG522">
        <v>0</v>
      </c>
      <c r="AH522">
        <v>0</v>
      </c>
      <c r="AI522">
        <v>0</v>
      </c>
      <c r="AJ522">
        <v>0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49.45</v>
      </c>
      <c r="AR522">
        <v>0</v>
      </c>
      <c r="AS522">
        <v>0</v>
      </c>
      <c r="AT522">
        <v>0</v>
      </c>
      <c r="AU522">
        <v>0</v>
      </c>
      <c r="AV522">
        <v>0</v>
      </c>
      <c r="AW522">
        <v>0</v>
      </c>
      <c r="AX522">
        <v>0</v>
      </c>
      <c r="AY522">
        <v>0</v>
      </c>
      <c r="AZ522">
        <v>0</v>
      </c>
      <c r="BA522">
        <v>0</v>
      </c>
      <c r="BB522">
        <v>0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1</v>
      </c>
      <c r="BI522">
        <v>1</v>
      </c>
      <c r="BJ522">
        <v>0.2</v>
      </c>
      <c r="BK522">
        <v>1</v>
      </c>
      <c r="BL522">
        <v>147.38</v>
      </c>
      <c r="BM522">
        <v>22.11</v>
      </c>
      <c r="BN522">
        <v>169.49</v>
      </c>
      <c r="BO522">
        <v>169.49</v>
      </c>
      <c r="BQ522" t="s">
        <v>1238</v>
      </c>
      <c r="BR522" t="s">
        <v>82</v>
      </c>
      <c r="BS522" s="3">
        <v>45996</v>
      </c>
      <c r="BT522" s="4">
        <v>0.72638888888888886</v>
      </c>
      <c r="BU522" t="s">
        <v>1239</v>
      </c>
      <c r="BV522" t="s">
        <v>87</v>
      </c>
      <c r="BW522" t="s">
        <v>153</v>
      </c>
      <c r="BX522" t="s">
        <v>345</v>
      </c>
      <c r="BY522">
        <v>1200</v>
      </c>
      <c r="CA522" t="s">
        <v>539</v>
      </c>
      <c r="CC522" t="s">
        <v>535</v>
      </c>
      <c r="CD522">
        <v>7646</v>
      </c>
      <c r="CE522" t="s">
        <v>134</v>
      </c>
      <c r="CF522" s="3">
        <v>45999</v>
      </c>
      <c r="CI522">
        <v>1</v>
      </c>
      <c r="CJ522">
        <v>1</v>
      </c>
      <c r="CK522">
        <v>23</v>
      </c>
      <c r="CL522" t="s">
        <v>87</v>
      </c>
    </row>
    <row r="523" spans="1:90" x14ac:dyDescent="0.3">
      <c r="A523" t="s">
        <v>72</v>
      </c>
      <c r="B523" t="s">
        <v>73</v>
      </c>
      <c r="C523" t="s">
        <v>74</v>
      </c>
      <c r="E523" t="str">
        <f>"080069672881"</f>
        <v>080069672881</v>
      </c>
      <c r="F523" s="3">
        <v>45995</v>
      </c>
      <c r="G523">
        <v>202609</v>
      </c>
      <c r="H523" t="s">
        <v>75</v>
      </c>
      <c r="I523" t="s">
        <v>76</v>
      </c>
      <c r="J523" t="s">
        <v>77</v>
      </c>
      <c r="K523" t="s">
        <v>78</v>
      </c>
      <c r="L523" t="s">
        <v>612</v>
      </c>
      <c r="M523" t="s">
        <v>613</v>
      </c>
      <c r="N523" t="s">
        <v>1240</v>
      </c>
      <c r="O523" t="s">
        <v>89</v>
      </c>
      <c r="P523" t="str">
        <f>"4170071854                    "</f>
        <v xml:space="preserve">4170071854                    </v>
      </c>
      <c r="Q523">
        <v>0</v>
      </c>
      <c r="R523">
        <v>0</v>
      </c>
      <c r="S523">
        <v>0</v>
      </c>
      <c r="T523">
        <v>0</v>
      </c>
      <c r="U523">
        <v>0</v>
      </c>
      <c r="V523">
        <v>0</v>
      </c>
      <c r="W523">
        <v>0</v>
      </c>
      <c r="X523">
        <v>0</v>
      </c>
      <c r="Y523">
        <v>0</v>
      </c>
      <c r="Z523">
        <v>0</v>
      </c>
      <c r="AA523">
        <v>0</v>
      </c>
      <c r="AB523">
        <v>0</v>
      </c>
      <c r="AC523">
        <v>0</v>
      </c>
      <c r="AD523">
        <v>0</v>
      </c>
      <c r="AE523">
        <v>0</v>
      </c>
      <c r="AF523">
        <v>0</v>
      </c>
      <c r="AG523">
        <v>0</v>
      </c>
      <c r="AH523">
        <v>0</v>
      </c>
      <c r="AI523">
        <v>0</v>
      </c>
      <c r="AJ523">
        <v>0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183.44</v>
      </c>
      <c r="AR523">
        <v>0</v>
      </c>
      <c r="AS523">
        <v>0</v>
      </c>
      <c r="AT523">
        <v>0</v>
      </c>
      <c r="AU523">
        <v>0</v>
      </c>
      <c r="AV523">
        <v>0</v>
      </c>
      <c r="AW523">
        <v>0</v>
      </c>
      <c r="AX523">
        <v>0</v>
      </c>
      <c r="AY523">
        <v>0</v>
      </c>
      <c r="AZ523">
        <v>0</v>
      </c>
      <c r="BA523">
        <v>0</v>
      </c>
      <c r="BB523">
        <v>0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1</v>
      </c>
      <c r="BI523">
        <v>8</v>
      </c>
      <c r="BJ523">
        <v>2.8</v>
      </c>
      <c r="BK523">
        <v>8</v>
      </c>
      <c r="BL523">
        <v>546.69000000000005</v>
      </c>
      <c r="BM523">
        <v>82</v>
      </c>
      <c r="BN523">
        <v>628.69000000000005</v>
      </c>
      <c r="BO523">
        <v>628.69000000000005</v>
      </c>
      <c r="BQ523" t="s">
        <v>1241</v>
      </c>
      <c r="BR523" t="s">
        <v>82</v>
      </c>
      <c r="BS523" s="3">
        <v>45996</v>
      </c>
      <c r="BT523" s="4">
        <v>0.57013888888888886</v>
      </c>
      <c r="BU523" t="s">
        <v>1242</v>
      </c>
      <c r="BV523" t="s">
        <v>84</v>
      </c>
      <c r="BY523">
        <v>14080</v>
      </c>
      <c r="CA523" t="s">
        <v>1243</v>
      </c>
      <c r="CC523" t="s">
        <v>613</v>
      </c>
      <c r="CD523">
        <v>6850</v>
      </c>
      <c r="CE523" t="s">
        <v>93</v>
      </c>
      <c r="CF523" s="3">
        <v>45999</v>
      </c>
      <c r="CI523">
        <v>2</v>
      </c>
      <c r="CJ523">
        <v>1</v>
      </c>
      <c r="CK523">
        <v>23</v>
      </c>
      <c r="CL523" t="s">
        <v>87</v>
      </c>
    </row>
    <row r="524" spans="1:90" x14ac:dyDescent="0.3">
      <c r="A524" t="s">
        <v>72</v>
      </c>
      <c r="B524" t="s">
        <v>73</v>
      </c>
      <c r="C524" t="s">
        <v>74</v>
      </c>
      <c r="E524" t="str">
        <f>"080069672927"</f>
        <v>080069672927</v>
      </c>
      <c r="F524" s="3">
        <v>45995</v>
      </c>
      <c r="G524">
        <v>202609</v>
      </c>
      <c r="H524" t="s">
        <v>75</v>
      </c>
      <c r="I524" t="s">
        <v>76</v>
      </c>
      <c r="J524" t="s">
        <v>77</v>
      </c>
      <c r="K524" t="s">
        <v>78</v>
      </c>
      <c r="L524" t="s">
        <v>202</v>
      </c>
      <c r="M524" t="s">
        <v>203</v>
      </c>
      <c r="N524" t="s">
        <v>204</v>
      </c>
      <c r="O524" t="s">
        <v>89</v>
      </c>
      <c r="P524" t="str">
        <f>"4170071828                    "</f>
        <v xml:space="preserve">4170071828                    </v>
      </c>
      <c r="Q524">
        <v>0</v>
      </c>
      <c r="R524">
        <v>0</v>
      </c>
      <c r="S524">
        <v>0</v>
      </c>
      <c r="T524">
        <v>0</v>
      </c>
      <c r="U524">
        <v>0</v>
      </c>
      <c r="V524">
        <v>0</v>
      </c>
      <c r="W524">
        <v>0</v>
      </c>
      <c r="X524">
        <v>0</v>
      </c>
      <c r="Y524">
        <v>0</v>
      </c>
      <c r="Z524">
        <v>0</v>
      </c>
      <c r="AA524">
        <v>0</v>
      </c>
      <c r="AB524">
        <v>0</v>
      </c>
      <c r="AC524">
        <v>0</v>
      </c>
      <c r="AD524">
        <v>0</v>
      </c>
      <c r="AE524">
        <v>0</v>
      </c>
      <c r="AF524">
        <v>0</v>
      </c>
      <c r="AG524">
        <v>0</v>
      </c>
      <c r="AH524">
        <v>0</v>
      </c>
      <c r="AI524">
        <v>0</v>
      </c>
      <c r="AJ524">
        <v>0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49.45</v>
      </c>
      <c r="AR524">
        <v>0</v>
      </c>
      <c r="AS524">
        <v>0</v>
      </c>
      <c r="AT524">
        <v>0</v>
      </c>
      <c r="AU524">
        <v>0</v>
      </c>
      <c r="AV524">
        <v>0</v>
      </c>
      <c r="AW524">
        <v>0</v>
      </c>
      <c r="AX524">
        <v>0</v>
      </c>
      <c r="AY524">
        <v>0</v>
      </c>
      <c r="AZ524">
        <v>0</v>
      </c>
      <c r="BA524">
        <v>0</v>
      </c>
      <c r="BB524">
        <v>0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1</v>
      </c>
      <c r="BI524">
        <v>1</v>
      </c>
      <c r="BJ524">
        <v>0.2</v>
      </c>
      <c r="BK524">
        <v>1</v>
      </c>
      <c r="BL524">
        <v>147.38</v>
      </c>
      <c r="BM524">
        <v>22.11</v>
      </c>
      <c r="BN524">
        <v>169.49</v>
      </c>
      <c r="BO524">
        <v>169.49</v>
      </c>
      <c r="BQ524" t="s">
        <v>205</v>
      </c>
      <c r="BR524" t="s">
        <v>82</v>
      </c>
      <c r="BS524" s="3">
        <v>45996</v>
      </c>
      <c r="BT524" s="4">
        <v>0.54166666666666663</v>
      </c>
      <c r="BU524" t="s">
        <v>1235</v>
      </c>
      <c r="BV524" t="s">
        <v>84</v>
      </c>
      <c r="BY524">
        <v>1200</v>
      </c>
      <c r="CA524">
        <v>7908245451080</v>
      </c>
      <c r="CC524" t="s">
        <v>203</v>
      </c>
      <c r="CD524">
        <v>2531</v>
      </c>
      <c r="CE524" t="s">
        <v>134</v>
      </c>
      <c r="CF524" s="3">
        <v>45999</v>
      </c>
      <c r="CI524">
        <v>1</v>
      </c>
      <c r="CJ524">
        <v>1</v>
      </c>
      <c r="CK524">
        <v>23</v>
      </c>
      <c r="CL524" t="s">
        <v>87</v>
      </c>
    </row>
    <row r="525" spans="1:90" x14ac:dyDescent="0.3">
      <c r="A525" t="s">
        <v>72</v>
      </c>
      <c r="B525" t="s">
        <v>73</v>
      </c>
      <c r="C525" t="s">
        <v>74</v>
      </c>
      <c r="E525" t="str">
        <f>"080069673000"</f>
        <v>080069673000</v>
      </c>
      <c r="F525" s="3">
        <v>45995</v>
      </c>
      <c r="G525">
        <v>202609</v>
      </c>
      <c r="H525" t="s">
        <v>75</v>
      </c>
      <c r="I525" t="s">
        <v>76</v>
      </c>
      <c r="J525" t="s">
        <v>77</v>
      </c>
      <c r="K525" t="s">
        <v>78</v>
      </c>
      <c r="L525" t="s">
        <v>465</v>
      </c>
      <c r="M525" t="s">
        <v>466</v>
      </c>
      <c r="N525" t="s">
        <v>738</v>
      </c>
      <c r="O525" t="s">
        <v>89</v>
      </c>
      <c r="P525" t="str">
        <f>"4170071819                    "</f>
        <v xml:space="preserve">4170071819                    </v>
      </c>
      <c r="Q525">
        <v>0</v>
      </c>
      <c r="R525">
        <v>0</v>
      </c>
      <c r="S525">
        <v>0</v>
      </c>
      <c r="T525">
        <v>0</v>
      </c>
      <c r="U525">
        <v>0</v>
      </c>
      <c r="V525">
        <v>0</v>
      </c>
      <c r="W525">
        <v>0</v>
      </c>
      <c r="X525">
        <v>0</v>
      </c>
      <c r="Y525">
        <v>0</v>
      </c>
      <c r="Z525">
        <v>0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0</v>
      </c>
      <c r="AJ525">
        <v>0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19.940000000000001</v>
      </c>
      <c r="AR525">
        <v>0</v>
      </c>
      <c r="AS525">
        <v>0</v>
      </c>
      <c r="AT525">
        <v>0</v>
      </c>
      <c r="AU525">
        <v>0</v>
      </c>
      <c r="AV525">
        <v>0</v>
      </c>
      <c r="AW525">
        <v>0</v>
      </c>
      <c r="AX525">
        <v>0</v>
      </c>
      <c r="AY525">
        <v>0</v>
      </c>
      <c r="AZ525">
        <v>0</v>
      </c>
      <c r="BA525">
        <v>0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1</v>
      </c>
      <c r="BI525">
        <v>0.5</v>
      </c>
      <c r="BJ525">
        <v>1.2</v>
      </c>
      <c r="BK525">
        <v>2</v>
      </c>
      <c r="BL525">
        <v>59.42</v>
      </c>
      <c r="BM525">
        <v>8.91</v>
      </c>
      <c r="BN525">
        <v>68.33</v>
      </c>
      <c r="BO525">
        <v>68.33</v>
      </c>
      <c r="BQ525" t="s">
        <v>739</v>
      </c>
      <c r="BR525" t="s">
        <v>82</v>
      </c>
      <c r="BS525" s="3">
        <v>45996</v>
      </c>
      <c r="BT525" s="4">
        <v>0.3611111111111111</v>
      </c>
      <c r="BU525" t="s">
        <v>1013</v>
      </c>
      <c r="BV525" t="s">
        <v>84</v>
      </c>
      <c r="BY525">
        <v>6045.2</v>
      </c>
      <c r="CA525" t="s">
        <v>727</v>
      </c>
      <c r="CC525" t="s">
        <v>466</v>
      </c>
      <c r="CD525">
        <v>1428</v>
      </c>
      <c r="CE525" t="s">
        <v>134</v>
      </c>
      <c r="CF525" s="3">
        <v>45997</v>
      </c>
      <c r="CI525">
        <v>1</v>
      </c>
      <c r="CJ525">
        <v>1</v>
      </c>
      <c r="CK525">
        <v>22</v>
      </c>
      <c r="CL525" t="s">
        <v>87</v>
      </c>
    </row>
    <row r="526" spans="1:90" x14ac:dyDescent="0.3">
      <c r="A526" t="s">
        <v>72</v>
      </c>
      <c r="B526" t="s">
        <v>73</v>
      </c>
      <c r="C526" t="s">
        <v>74</v>
      </c>
      <c r="E526" t="str">
        <f>"080069673060"</f>
        <v>080069673060</v>
      </c>
      <c r="F526" s="3">
        <v>45995</v>
      </c>
      <c r="G526">
        <v>202609</v>
      </c>
      <c r="H526" t="s">
        <v>75</v>
      </c>
      <c r="I526" t="s">
        <v>76</v>
      </c>
      <c r="J526" t="s">
        <v>77</v>
      </c>
      <c r="K526" t="s">
        <v>78</v>
      </c>
      <c r="L526" t="s">
        <v>612</v>
      </c>
      <c r="M526" t="s">
        <v>613</v>
      </c>
      <c r="N526" t="s">
        <v>614</v>
      </c>
      <c r="O526" t="s">
        <v>89</v>
      </c>
      <c r="P526" t="str">
        <f>"4170071673                    "</f>
        <v xml:space="preserve">4170071673                    </v>
      </c>
      <c r="Q526">
        <v>0</v>
      </c>
      <c r="R526">
        <v>0</v>
      </c>
      <c r="S526">
        <v>0</v>
      </c>
      <c r="T526">
        <v>0</v>
      </c>
      <c r="U526">
        <v>0</v>
      </c>
      <c r="V526">
        <v>0</v>
      </c>
      <c r="W526">
        <v>0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0</v>
      </c>
      <c r="AD526">
        <v>0</v>
      </c>
      <c r="AE526">
        <v>0</v>
      </c>
      <c r="AF526">
        <v>0</v>
      </c>
      <c r="AG526">
        <v>0</v>
      </c>
      <c r="AH526">
        <v>0</v>
      </c>
      <c r="AI526">
        <v>0</v>
      </c>
      <c r="AJ526">
        <v>0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49.45</v>
      </c>
      <c r="AR526">
        <v>0</v>
      </c>
      <c r="AS526">
        <v>0</v>
      </c>
      <c r="AT526">
        <v>0</v>
      </c>
      <c r="AU526">
        <v>0</v>
      </c>
      <c r="AV526">
        <v>0</v>
      </c>
      <c r="AW526">
        <v>0</v>
      </c>
      <c r="AX526">
        <v>0</v>
      </c>
      <c r="AY526">
        <v>0</v>
      </c>
      <c r="AZ526">
        <v>0</v>
      </c>
      <c r="BA526">
        <v>0</v>
      </c>
      <c r="BB526">
        <v>0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1</v>
      </c>
      <c r="BI526">
        <v>1</v>
      </c>
      <c r="BJ526">
        <v>0.2</v>
      </c>
      <c r="BK526">
        <v>1</v>
      </c>
      <c r="BL526">
        <v>147.38</v>
      </c>
      <c r="BM526">
        <v>22.11</v>
      </c>
      <c r="BN526">
        <v>169.49</v>
      </c>
      <c r="BO526">
        <v>169.49</v>
      </c>
      <c r="BQ526" t="s">
        <v>615</v>
      </c>
      <c r="BR526" t="s">
        <v>82</v>
      </c>
      <c r="BS526" s="3">
        <v>45996</v>
      </c>
      <c r="BT526" s="4">
        <v>0.60069444444444442</v>
      </c>
      <c r="BU526" t="s">
        <v>1244</v>
      </c>
      <c r="BV526" t="s">
        <v>84</v>
      </c>
      <c r="BY526">
        <v>1200</v>
      </c>
      <c r="CA526" t="s">
        <v>1243</v>
      </c>
      <c r="CC526" t="s">
        <v>613</v>
      </c>
      <c r="CD526">
        <v>6850</v>
      </c>
      <c r="CE526" t="s">
        <v>134</v>
      </c>
      <c r="CF526" s="3">
        <v>45999</v>
      </c>
      <c r="CI526">
        <v>2</v>
      </c>
      <c r="CJ526">
        <v>1</v>
      </c>
      <c r="CK526">
        <v>23</v>
      </c>
      <c r="CL526" t="s">
        <v>87</v>
      </c>
    </row>
    <row r="527" spans="1:90" x14ac:dyDescent="0.3">
      <c r="A527" t="s">
        <v>72</v>
      </c>
      <c r="B527" t="s">
        <v>73</v>
      </c>
      <c r="C527" t="s">
        <v>74</v>
      </c>
      <c r="E527" t="str">
        <f>"080069673064"</f>
        <v>080069673064</v>
      </c>
      <c r="F527" s="3">
        <v>45995</v>
      </c>
      <c r="G527">
        <v>202609</v>
      </c>
      <c r="H527" t="s">
        <v>75</v>
      </c>
      <c r="I527" t="s">
        <v>76</v>
      </c>
      <c r="J527" t="s">
        <v>77</v>
      </c>
      <c r="K527" t="s">
        <v>78</v>
      </c>
      <c r="L527" t="s">
        <v>156</v>
      </c>
      <c r="M527" t="s">
        <v>157</v>
      </c>
      <c r="N527" t="s">
        <v>261</v>
      </c>
      <c r="O527" t="s">
        <v>80</v>
      </c>
      <c r="P527" t="str">
        <f>"4170071580                    "</f>
        <v xml:space="preserve">4170071580                    </v>
      </c>
      <c r="Q527">
        <v>0</v>
      </c>
      <c r="R527">
        <v>0</v>
      </c>
      <c r="S527">
        <v>0</v>
      </c>
      <c r="T527">
        <v>0</v>
      </c>
      <c r="U527">
        <v>0</v>
      </c>
      <c r="V527">
        <v>0</v>
      </c>
      <c r="W527">
        <v>0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0</v>
      </c>
      <c r="AJ527">
        <v>0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1053.1400000000001</v>
      </c>
      <c r="AR527">
        <v>0</v>
      </c>
      <c r="AS527">
        <v>0</v>
      </c>
      <c r="AT527">
        <v>0</v>
      </c>
      <c r="AU527">
        <v>0</v>
      </c>
      <c r="AV527">
        <v>0</v>
      </c>
      <c r="AW527">
        <v>0</v>
      </c>
      <c r="AX527">
        <v>0</v>
      </c>
      <c r="AY527">
        <v>0</v>
      </c>
      <c r="AZ527">
        <v>0</v>
      </c>
      <c r="BA527">
        <v>0</v>
      </c>
      <c r="BB527">
        <v>0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3</v>
      </c>
      <c r="BI527">
        <v>324</v>
      </c>
      <c r="BJ527">
        <v>506.1</v>
      </c>
      <c r="BK527">
        <v>507</v>
      </c>
      <c r="BL527">
        <v>3144.66</v>
      </c>
      <c r="BM527">
        <v>471.7</v>
      </c>
      <c r="BN527">
        <v>3616.36</v>
      </c>
      <c r="BO527">
        <v>3616.36</v>
      </c>
      <c r="BQ527" t="s">
        <v>262</v>
      </c>
      <c r="BR527" t="s">
        <v>82</v>
      </c>
      <c r="BS527" s="3">
        <v>46000</v>
      </c>
      <c r="BT527" s="4">
        <v>0.41666666666666669</v>
      </c>
      <c r="BU527" t="s">
        <v>1245</v>
      </c>
      <c r="BV527" t="s">
        <v>84</v>
      </c>
      <c r="BY527">
        <v>2530602</v>
      </c>
      <c r="CC527" t="s">
        <v>157</v>
      </c>
      <c r="CD527">
        <v>7441</v>
      </c>
      <c r="CE527" t="s">
        <v>567</v>
      </c>
      <c r="CF527" s="3">
        <v>46002</v>
      </c>
      <c r="CI527">
        <v>3</v>
      </c>
      <c r="CJ527">
        <v>3</v>
      </c>
      <c r="CK527">
        <v>41</v>
      </c>
      <c r="CL527" t="s">
        <v>87</v>
      </c>
    </row>
    <row r="528" spans="1:90" x14ac:dyDescent="0.3">
      <c r="A528" t="s">
        <v>72</v>
      </c>
      <c r="B528" t="s">
        <v>73</v>
      </c>
      <c r="C528" t="s">
        <v>74</v>
      </c>
      <c r="E528" t="str">
        <f>"080069673164"</f>
        <v>080069673164</v>
      </c>
      <c r="F528" s="3">
        <v>45995</v>
      </c>
      <c r="G528">
        <v>202609</v>
      </c>
      <c r="H528" t="s">
        <v>75</v>
      </c>
      <c r="I528" t="s">
        <v>76</v>
      </c>
      <c r="J528" t="s">
        <v>77</v>
      </c>
      <c r="K528" t="s">
        <v>78</v>
      </c>
      <c r="L528" t="s">
        <v>465</v>
      </c>
      <c r="M528" t="s">
        <v>466</v>
      </c>
      <c r="N528" t="s">
        <v>1246</v>
      </c>
      <c r="O528" t="s">
        <v>89</v>
      </c>
      <c r="P528" t="str">
        <f>"4170071774                    "</f>
        <v xml:space="preserve">4170071774                    </v>
      </c>
      <c r="Q528">
        <v>0</v>
      </c>
      <c r="R528">
        <v>0</v>
      </c>
      <c r="S528">
        <v>0</v>
      </c>
      <c r="T528">
        <v>0</v>
      </c>
      <c r="U528">
        <v>0</v>
      </c>
      <c r="V528">
        <v>0</v>
      </c>
      <c r="W528">
        <v>0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0</v>
      </c>
      <c r="AD528">
        <v>0</v>
      </c>
      <c r="AE528">
        <v>0</v>
      </c>
      <c r="AF528">
        <v>0</v>
      </c>
      <c r="AG528">
        <v>0</v>
      </c>
      <c r="AH528">
        <v>0</v>
      </c>
      <c r="AI528">
        <v>0</v>
      </c>
      <c r="AJ528">
        <v>0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19.940000000000001</v>
      </c>
      <c r="AR528">
        <v>0</v>
      </c>
      <c r="AS528">
        <v>0</v>
      </c>
      <c r="AT528">
        <v>0</v>
      </c>
      <c r="AU528">
        <v>0</v>
      </c>
      <c r="AV528">
        <v>0</v>
      </c>
      <c r="AW528">
        <v>0</v>
      </c>
      <c r="AX528">
        <v>0</v>
      </c>
      <c r="AY528">
        <v>0</v>
      </c>
      <c r="AZ528">
        <v>0</v>
      </c>
      <c r="BA528">
        <v>0</v>
      </c>
      <c r="BB528">
        <v>0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1</v>
      </c>
      <c r="BI528">
        <v>1</v>
      </c>
      <c r="BJ528">
        <v>0.2</v>
      </c>
      <c r="BK528">
        <v>1</v>
      </c>
      <c r="BL528">
        <v>59.42</v>
      </c>
      <c r="BM528">
        <v>8.91</v>
      </c>
      <c r="BN528">
        <v>68.33</v>
      </c>
      <c r="BO528">
        <v>68.33</v>
      </c>
      <c r="BQ528" t="s">
        <v>1247</v>
      </c>
      <c r="BR528" t="s">
        <v>82</v>
      </c>
      <c r="BS528" s="3">
        <v>45996</v>
      </c>
      <c r="BT528" s="4">
        <v>0.39583333333333331</v>
      </c>
      <c r="BU528" t="s">
        <v>1248</v>
      </c>
      <c r="BV528" t="s">
        <v>84</v>
      </c>
      <c r="BY528">
        <v>1200</v>
      </c>
      <c r="CA528" t="s">
        <v>1249</v>
      </c>
      <c r="CC528" t="s">
        <v>466</v>
      </c>
      <c r="CD528">
        <v>1401</v>
      </c>
      <c r="CE528" t="s">
        <v>134</v>
      </c>
      <c r="CF528" s="3">
        <v>45997</v>
      </c>
      <c r="CI528">
        <v>1</v>
      </c>
      <c r="CJ528">
        <v>1</v>
      </c>
      <c r="CK528">
        <v>22</v>
      </c>
      <c r="CL528" t="s">
        <v>87</v>
      </c>
    </row>
    <row r="529" spans="1:90" x14ac:dyDescent="0.3">
      <c r="A529" t="s">
        <v>72</v>
      </c>
      <c r="B529" t="s">
        <v>73</v>
      </c>
      <c r="C529" t="s">
        <v>74</v>
      </c>
      <c r="E529" t="str">
        <f>"080069673163"</f>
        <v>080069673163</v>
      </c>
      <c r="F529" s="3">
        <v>45995</v>
      </c>
      <c r="G529">
        <v>202609</v>
      </c>
      <c r="H529" t="s">
        <v>75</v>
      </c>
      <c r="I529" t="s">
        <v>76</v>
      </c>
      <c r="J529" t="s">
        <v>77</v>
      </c>
      <c r="K529" t="s">
        <v>78</v>
      </c>
      <c r="L529" t="s">
        <v>100</v>
      </c>
      <c r="M529" t="s">
        <v>101</v>
      </c>
      <c r="N529" t="s">
        <v>102</v>
      </c>
      <c r="O529" t="s">
        <v>89</v>
      </c>
      <c r="P529" t="str">
        <f>"4170071874                    "</f>
        <v xml:space="preserve">4170071874                    </v>
      </c>
      <c r="Q529">
        <v>0</v>
      </c>
      <c r="R529">
        <v>0</v>
      </c>
      <c r="S529">
        <v>0</v>
      </c>
      <c r="T529">
        <v>0</v>
      </c>
      <c r="U529">
        <v>0</v>
      </c>
      <c r="V529">
        <v>0</v>
      </c>
      <c r="W529">
        <v>0</v>
      </c>
      <c r="X529">
        <v>0</v>
      </c>
      <c r="Y529">
        <v>0</v>
      </c>
      <c r="Z529">
        <v>0</v>
      </c>
      <c r="AA529">
        <v>0</v>
      </c>
      <c r="AB529">
        <v>0</v>
      </c>
      <c r="AC529">
        <v>0</v>
      </c>
      <c r="AD529">
        <v>0</v>
      </c>
      <c r="AE529">
        <v>0</v>
      </c>
      <c r="AF529">
        <v>0</v>
      </c>
      <c r="AG529">
        <v>0</v>
      </c>
      <c r="AH529">
        <v>0</v>
      </c>
      <c r="AI529">
        <v>0</v>
      </c>
      <c r="AJ529">
        <v>0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25.52</v>
      </c>
      <c r="AR529">
        <v>0</v>
      </c>
      <c r="AS529">
        <v>0</v>
      </c>
      <c r="AT529">
        <v>0</v>
      </c>
      <c r="AU529">
        <v>0</v>
      </c>
      <c r="AV529">
        <v>0</v>
      </c>
      <c r="AW529">
        <v>0</v>
      </c>
      <c r="AX529">
        <v>0</v>
      </c>
      <c r="AY529">
        <v>0</v>
      </c>
      <c r="AZ529">
        <v>0</v>
      </c>
      <c r="BA529">
        <v>0</v>
      </c>
      <c r="BB529">
        <v>0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1</v>
      </c>
      <c r="BI529">
        <v>2</v>
      </c>
      <c r="BJ529">
        <v>1.4</v>
      </c>
      <c r="BK529">
        <v>2</v>
      </c>
      <c r="BL529">
        <v>76.06</v>
      </c>
      <c r="BM529">
        <v>11.41</v>
      </c>
      <c r="BN529">
        <v>87.47</v>
      </c>
      <c r="BO529">
        <v>87.47</v>
      </c>
      <c r="BQ529" t="s">
        <v>103</v>
      </c>
      <c r="BR529" t="s">
        <v>82</v>
      </c>
      <c r="BS529" s="3">
        <v>45996</v>
      </c>
      <c r="BT529" s="4">
        <v>0.35347222222222224</v>
      </c>
      <c r="BU529" t="s">
        <v>1211</v>
      </c>
      <c r="BV529" t="s">
        <v>84</v>
      </c>
      <c r="BY529">
        <v>7000</v>
      </c>
      <c r="CA529" t="s">
        <v>107</v>
      </c>
      <c r="CC529" t="s">
        <v>101</v>
      </c>
      <c r="CD529">
        <v>4051</v>
      </c>
      <c r="CE529" t="s">
        <v>86</v>
      </c>
      <c r="CF529" s="3">
        <v>45996</v>
      </c>
      <c r="CI529">
        <v>1</v>
      </c>
      <c r="CJ529">
        <v>1</v>
      </c>
      <c r="CK529">
        <v>21</v>
      </c>
      <c r="CL529" t="s">
        <v>87</v>
      </c>
    </row>
    <row r="530" spans="1:90" x14ac:dyDescent="0.3">
      <c r="A530" t="s">
        <v>72</v>
      </c>
      <c r="B530" t="s">
        <v>73</v>
      </c>
      <c r="C530" t="s">
        <v>74</v>
      </c>
      <c r="E530" t="str">
        <f>"080069673208"</f>
        <v>080069673208</v>
      </c>
      <c r="F530" s="3">
        <v>45995</v>
      </c>
      <c r="G530">
        <v>202609</v>
      </c>
      <c r="H530" t="s">
        <v>75</v>
      </c>
      <c r="I530" t="s">
        <v>76</v>
      </c>
      <c r="J530" t="s">
        <v>77</v>
      </c>
      <c r="K530" t="s">
        <v>78</v>
      </c>
      <c r="L530" t="s">
        <v>141</v>
      </c>
      <c r="M530" t="s">
        <v>142</v>
      </c>
      <c r="N530" t="s">
        <v>868</v>
      </c>
      <c r="O530" t="s">
        <v>89</v>
      </c>
      <c r="P530" t="str">
        <f>"4170071727                    "</f>
        <v xml:space="preserve">4170071727                    </v>
      </c>
      <c r="Q530">
        <v>0</v>
      </c>
      <c r="R530">
        <v>0</v>
      </c>
      <c r="S530">
        <v>0</v>
      </c>
      <c r="T530">
        <v>0</v>
      </c>
      <c r="U530">
        <v>0</v>
      </c>
      <c r="V530">
        <v>0</v>
      </c>
      <c r="W530">
        <v>0</v>
      </c>
      <c r="X530">
        <v>0</v>
      </c>
      <c r="Y530">
        <v>0</v>
      </c>
      <c r="Z530">
        <v>0</v>
      </c>
      <c r="AA530">
        <v>0</v>
      </c>
      <c r="AB530">
        <v>0</v>
      </c>
      <c r="AC530">
        <v>0</v>
      </c>
      <c r="AD530">
        <v>0</v>
      </c>
      <c r="AE530">
        <v>0</v>
      </c>
      <c r="AF530">
        <v>0</v>
      </c>
      <c r="AG530">
        <v>0</v>
      </c>
      <c r="AH530">
        <v>0</v>
      </c>
      <c r="AI530">
        <v>0</v>
      </c>
      <c r="AJ530">
        <v>0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25.52</v>
      </c>
      <c r="AR530">
        <v>0</v>
      </c>
      <c r="AS530">
        <v>0</v>
      </c>
      <c r="AT530">
        <v>0</v>
      </c>
      <c r="AU530">
        <v>0</v>
      </c>
      <c r="AV530">
        <v>0</v>
      </c>
      <c r="AW530">
        <v>0</v>
      </c>
      <c r="AX530">
        <v>0</v>
      </c>
      <c r="AY530">
        <v>0</v>
      </c>
      <c r="AZ530">
        <v>0</v>
      </c>
      <c r="BA530">
        <v>0</v>
      </c>
      <c r="BB530">
        <v>0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1</v>
      </c>
      <c r="BI530">
        <v>1</v>
      </c>
      <c r="BJ530">
        <v>0.2</v>
      </c>
      <c r="BK530">
        <v>1</v>
      </c>
      <c r="BL530">
        <v>76.06</v>
      </c>
      <c r="BM530">
        <v>11.41</v>
      </c>
      <c r="BN530">
        <v>87.47</v>
      </c>
      <c r="BO530">
        <v>87.47</v>
      </c>
      <c r="BQ530" t="s">
        <v>869</v>
      </c>
      <c r="BR530" t="s">
        <v>82</v>
      </c>
      <c r="BS530" s="3">
        <v>45996</v>
      </c>
      <c r="BT530" s="4">
        <v>0.39166666666666666</v>
      </c>
      <c r="BU530" t="s">
        <v>870</v>
      </c>
      <c r="BV530" t="s">
        <v>84</v>
      </c>
      <c r="BY530">
        <v>1200</v>
      </c>
      <c r="CA530" t="s">
        <v>571</v>
      </c>
      <c r="CC530" t="s">
        <v>142</v>
      </c>
      <c r="CD530">
        <v>6001</v>
      </c>
      <c r="CE530" t="s">
        <v>134</v>
      </c>
      <c r="CF530" s="3">
        <v>45996</v>
      </c>
      <c r="CI530">
        <v>1</v>
      </c>
      <c r="CJ530">
        <v>1</v>
      </c>
      <c r="CK530">
        <v>21</v>
      </c>
      <c r="CL530" t="s">
        <v>87</v>
      </c>
    </row>
    <row r="531" spans="1:90" x14ac:dyDescent="0.3">
      <c r="A531" t="s">
        <v>72</v>
      </c>
      <c r="B531" t="s">
        <v>73</v>
      </c>
      <c r="C531" t="s">
        <v>74</v>
      </c>
      <c r="E531" t="str">
        <f>"080069673209"</f>
        <v>080069673209</v>
      </c>
      <c r="F531" s="3">
        <v>45995</v>
      </c>
      <c r="G531">
        <v>202609</v>
      </c>
      <c r="H531" t="s">
        <v>75</v>
      </c>
      <c r="I531" t="s">
        <v>76</v>
      </c>
      <c r="J531" t="s">
        <v>77</v>
      </c>
      <c r="K531" t="s">
        <v>78</v>
      </c>
      <c r="L531" t="s">
        <v>265</v>
      </c>
      <c r="M531" t="s">
        <v>266</v>
      </c>
      <c r="N531" t="s">
        <v>1250</v>
      </c>
      <c r="O531" t="s">
        <v>89</v>
      </c>
      <c r="P531" t="str">
        <f>"4170071738                    "</f>
        <v xml:space="preserve">4170071738                    </v>
      </c>
      <c r="Q531">
        <v>0</v>
      </c>
      <c r="R531">
        <v>0</v>
      </c>
      <c r="S531">
        <v>0</v>
      </c>
      <c r="T531">
        <v>0</v>
      </c>
      <c r="U531">
        <v>0</v>
      </c>
      <c r="V531">
        <v>0</v>
      </c>
      <c r="W531">
        <v>0</v>
      </c>
      <c r="X531">
        <v>0</v>
      </c>
      <c r="Y531">
        <v>0</v>
      </c>
      <c r="Z531">
        <v>0</v>
      </c>
      <c r="AA531">
        <v>0</v>
      </c>
      <c r="AB531">
        <v>0</v>
      </c>
      <c r="AC531">
        <v>0</v>
      </c>
      <c r="AD531">
        <v>0</v>
      </c>
      <c r="AE531">
        <v>0</v>
      </c>
      <c r="AF531">
        <v>0</v>
      </c>
      <c r="AG531">
        <v>0</v>
      </c>
      <c r="AH531">
        <v>0</v>
      </c>
      <c r="AI531">
        <v>0</v>
      </c>
      <c r="AJ531">
        <v>0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19.940000000000001</v>
      </c>
      <c r="AR531">
        <v>0</v>
      </c>
      <c r="AS531">
        <v>0</v>
      </c>
      <c r="AT531">
        <v>0</v>
      </c>
      <c r="AU531">
        <v>0</v>
      </c>
      <c r="AV531">
        <v>0</v>
      </c>
      <c r="AW531">
        <v>0</v>
      </c>
      <c r="AX531">
        <v>0</v>
      </c>
      <c r="AY531">
        <v>0</v>
      </c>
      <c r="AZ531">
        <v>0</v>
      </c>
      <c r="BA531">
        <v>0</v>
      </c>
      <c r="BB531">
        <v>0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1</v>
      </c>
      <c r="BI531">
        <v>1.9</v>
      </c>
      <c r="BJ531">
        <v>1.7</v>
      </c>
      <c r="BK531">
        <v>2</v>
      </c>
      <c r="BL531">
        <v>59.42</v>
      </c>
      <c r="BM531">
        <v>8.91</v>
      </c>
      <c r="BN531">
        <v>68.33</v>
      </c>
      <c r="BO531">
        <v>68.33</v>
      </c>
      <c r="BQ531" t="s">
        <v>1251</v>
      </c>
      <c r="BR531" t="s">
        <v>82</v>
      </c>
      <c r="BS531" s="3">
        <v>45996</v>
      </c>
      <c r="BT531" s="4">
        <v>0.33888888888888891</v>
      </c>
      <c r="BU531" t="s">
        <v>1252</v>
      </c>
      <c r="BV531" t="s">
        <v>84</v>
      </c>
      <c r="BY531">
        <v>8555.4</v>
      </c>
      <c r="CC531" t="s">
        <v>266</v>
      </c>
      <c r="CD531">
        <v>1460</v>
      </c>
      <c r="CE531" t="s">
        <v>86</v>
      </c>
      <c r="CF531" s="3">
        <v>45996</v>
      </c>
      <c r="CI531">
        <v>1</v>
      </c>
      <c r="CJ531">
        <v>1</v>
      </c>
      <c r="CK531">
        <v>22</v>
      </c>
      <c r="CL531" t="s">
        <v>87</v>
      </c>
    </row>
    <row r="532" spans="1:90" x14ac:dyDescent="0.3">
      <c r="A532" t="s">
        <v>72</v>
      </c>
      <c r="B532" t="s">
        <v>73</v>
      </c>
      <c r="C532" t="s">
        <v>74</v>
      </c>
      <c r="E532" t="str">
        <f>"080069673265"</f>
        <v>080069673265</v>
      </c>
      <c r="F532" s="3">
        <v>45995</v>
      </c>
      <c r="G532">
        <v>202609</v>
      </c>
      <c r="H532" t="s">
        <v>75</v>
      </c>
      <c r="I532" t="s">
        <v>76</v>
      </c>
      <c r="J532" t="s">
        <v>77</v>
      </c>
      <c r="K532" t="s">
        <v>78</v>
      </c>
      <c r="L532" t="s">
        <v>943</v>
      </c>
      <c r="M532" t="s">
        <v>944</v>
      </c>
      <c r="N532" t="s">
        <v>1253</v>
      </c>
      <c r="O532" t="s">
        <v>89</v>
      </c>
      <c r="P532" t="str">
        <f>"4170071776                    "</f>
        <v xml:space="preserve">4170071776                    </v>
      </c>
      <c r="Q532">
        <v>0</v>
      </c>
      <c r="R532">
        <v>0</v>
      </c>
      <c r="S532">
        <v>0</v>
      </c>
      <c r="T532">
        <v>0</v>
      </c>
      <c r="U532">
        <v>0</v>
      </c>
      <c r="V532">
        <v>0</v>
      </c>
      <c r="W532">
        <v>0</v>
      </c>
      <c r="X532">
        <v>0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0</v>
      </c>
      <c r="AE532">
        <v>0</v>
      </c>
      <c r="AF532">
        <v>0</v>
      </c>
      <c r="AG532">
        <v>0</v>
      </c>
      <c r="AH532">
        <v>0</v>
      </c>
      <c r="AI532">
        <v>0</v>
      </c>
      <c r="AJ532">
        <v>0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19.940000000000001</v>
      </c>
      <c r="AR532">
        <v>0</v>
      </c>
      <c r="AS532">
        <v>0</v>
      </c>
      <c r="AT532">
        <v>0</v>
      </c>
      <c r="AU532">
        <v>0</v>
      </c>
      <c r="AV532">
        <v>0</v>
      </c>
      <c r="AW532">
        <v>0</v>
      </c>
      <c r="AX532">
        <v>0</v>
      </c>
      <c r="AY532">
        <v>0</v>
      </c>
      <c r="AZ532">
        <v>0</v>
      </c>
      <c r="BA532">
        <v>0</v>
      </c>
      <c r="BB532">
        <v>0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1</v>
      </c>
      <c r="BI532">
        <v>0.2</v>
      </c>
      <c r="BJ532">
        <v>1.1000000000000001</v>
      </c>
      <c r="BK532">
        <v>2</v>
      </c>
      <c r="BL532">
        <v>59.42</v>
      </c>
      <c r="BM532">
        <v>8.91</v>
      </c>
      <c r="BN532">
        <v>68.33</v>
      </c>
      <c r="BO532">
        <v>68.33</v>
      </c>
      <c r="BQ532" t="s">
        <v>1254</v>
      </c>
      <c r="BR532" t="s">
        <v>82</v>
      </c>
      <c r="BS532" s="3">
        <v>45996</v>
      </c>
      <c r="BT532" s="4">
        <v>0.41597222222222224</v>
      </c>
      <c r="BU532" t="s">
        <v>1255</v>
      </c>
      <c r="BV532" t="s">
        <v>84</v>
      </c>
      <c r="BY532">
        <v>5370.3</v>
      </c>
      <c r="CA532" t="s">
        <v>1256</v>
      </c>
      <c r="CC532" t="s">
        <v>944</v>
      </c>
      <c r="CD532">
        <v>1682</v>
      </c>
      <c r="CE532" t="s">
        <v>134</v>
      </c>
      <c r="CF532" s="3">
        <v>45997</v>
      </c>
      <c r="CI532">
        <v>1</v>
      </c>
      <c r="CJ532">
        <v>1</v>
      </c>
      <c r="CK532">
        <v>22</v>
      </c>
      <c r="CL532" t="s">
        <v>87</v>
      </c>
    </row>
    <row r="533" spans="1:90" x14ac:dyDescent="0.3">
      <c r="A533" t="s">
        <v>72</v>
      </c>
      <c r="B533" t="s">
        <v>73</v>
      </c>
      <c r="C533" t="s">
        <v>74</v>
      </c>
      <c r="E533" t="str">
        <f>"080069673274"</f>
        <v>080069673274</v>
      </c>
      <c r="F533" s="3">
        <v>45995</v>
      </c>
      <c r="G533">
        <v>202609</v>
      </c>
      <c r="H533" t="s">
        <v>75</v>
      </c>
      <c r="I533" t="s">
        <v>76</v>
      </c>
      <c r="J533" t="s">
        <v>77</v>
      </c>
      <c r="K533" t="s">
        <v>78</v>
      </c>
      <c r="L533" t="s">
        <v>535</v>
      </c>
      <c r="M533" t="s">
        <v>535</v>
      </c>
      <c r="N533" t="s">
        <v>521</v>
      </c>
      <c r="O533" t="s">
        <v>89</v>
      </c>
      <c r="P533" t="str">
        <f>"4170071665                    "</f>
        <v xml:space="preserve">4170071665                    </v>
      </c>
      <c r="Q533">
        <v>0</v>
      </c>
      <c r="R533">
        <v>0</v>
      </c>
      <c r="S533">
        <v>0</v>
      </c>
      <c r="T533">
        <v>0</v>
      </c>
      <c r="U533">
        <v>0</v>
      </c>
      <c r="V533">
        <v>0</v>
      </c>
      <c r="W533">
        <v>0</v>
      </c>
      <c r="X533">
        <v>0</v>
      </c>
      <c r="Y533">
        <v>0</v>
      </c>
      <c r="Z533">
        <v>0</v>
      </c>
      <c r="AA533">
        <v>0</v>
      </c>
      <c r="AB533">
        <v>0</v>
      </c>
      <c r="AC533">
        <v>0</v>
      </c>
      <c r="AD533">
        <v>0</v>
      </c>
      <c r="AE533">
        <v>0</v>
      </c>
      <c r="AF533">
        <v>0</v>
      </c>
      <c r="AG533">
        <v>0</v>
      </c>
      <c r="AH533">
        <v>0</v>
      </c>
      <c r="AI533">
        <v>0</v>
      </c>
      <c r="AJ533">
        <v>0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127.61</v>
      </c>
      <c r="AR533">
        <v>0</v>
      </c>
      <c r="AS533">
        <v>0</v>
      </c>
      <c r="AT533">
        <v>0</v>
      </c>
      <c r="AU533">
        <v>0</v>
      </c>
      <c r="AV533">
        <v>0</v>
      </c>
      <c r="AW533">
        <v>0</v>
      </c>
      <c r="AX533">
        <v>0</v>
      </c>
      <c r="AY533">
        <v>0</v>
      </c>
      <c r="AZ533">
        <v>0</v>
      </c>
      <c r="BA533">
        <v>0</v>
      </c>
      <c r="BB533">
        <v>0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2</v>
      </c>
      <c r="BI533">
        <v>4</v>
      </c>
      <c r="BJ533">
        <v>5.2</v>
      </c>
      <c r="BK533">
        <v>5.5</v>
      </c>
      <c r="BL533">
        <v>380.31</v>
      </c>
      <c r="BM533">
        <v>57.05</v>
      </c>
      <c r="BN533">
        <v>437.36</v>
      </c>
      <c r="BO533">
        <v>437.36</v>
      </c>
      <c r="BQ533" t="s">
        <v>522</v>
      </c>
      <c r="BR533" t="s">
        <v>82</v>
      </c>
      <c r="BS533" s="3">
        <v>45996</v>
      </c>
      <c r="BT533" s="4">
        <v>0.73472222222222228</v>
      </c>
      <c r="BU533" t="s">
        <v>1257</v>
      </c>
      <c r="BV533" t="s">
        <v>87</v>
      </c>
      <c r="BW533" t="s">
        <v>153</v>
      </c>
      <c r="BX533" t="s">
        <v>345</v>
      </c>
      <c r="BY533">
        <v>26040</v>
      </c>
      <c r="CA533" t="s">
        <v>539</v>
      </c>
      <c r="CC533" t="s">
        <v>535</v>
      </c>
      <c r="CD533">
        <v>7646</v>
      </c>
      <c r="CE533" t="s">
        <v>86</v>
      </c>
      <c r="CF533" s="3">
        <v>45999</v>
      </c>
      <c r="CI533">
        <v>1</v>
      </c>
      <c r="CJ533">
        <v>1</v>
      </c>
      <c r="CK533">
        <v>23</v>
      </c>
      <c r="CL533" t="s">
        <v>87</v>
      </c>
    </row>
    <row r="534" spans="1:90" x14ac:dyDescent="0.3">
      <c r="A534" t="s">
        <v>72</v>
      </c>
      <c r="B534" t="s">
        <v>73</v>
      </c>
      <c r="C534" t="s">
        <v>74</v>
      </c>
      <c r="E534" t="str">
        <f>"080069673317"</f>
        <v>080069673317</v>
      </c>
      <c r="F534" s="3">
        <v>45995</v>
      </c>
      <c r="G534">
        <v>202609</v>
      </c>
      <c r="H534" t="s">
        <v>75</v>
      </c>
      <c r="I534" t="s">
        <v>76</v>
      </c>
      <c r="J534" t="s">
        <v>77</v>
      </c>
      <c r="K534" t="s">
        <v>78</v>
      </c>
      <c r="L534" t="s">
        <v>75</v>
      </c>
      <c r="M534" t="s">
        <v>76</v>
      </c>
      <c r="N534" t="s">
        <v>1258</v>
      </c>
      <c r="O534" t="s">
        <v>340</v>
      </c>
      <c r="P534" t="str">
        <f>"4170071919                    "</f>
        <v xml:space="preserve">4170071919                    </v>
      </c>
      <c r="Q534">
        <v>0</v>
      </c>
      <c r="R534">
        <v>0</v>
      </c>
      <c r="S534">
        <v>0</v>
      </c>
      <c r="T534">
        <v>0</v>
      </c>
      <c r="U534">
        <v>0</v>
      </c>
      <c r="V534">
        <v>0</v>
      </c>
      <c r="W534">
        <v>0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0</v>
      </c>
      <c r="AD534">
        <v>0</v>
      </c>
      <c r="AE534">
        <v>0</v>
      </c>
      <c r="AF534">
        <v>0</v>
      </c>
      <c r="AG534">
        <v>0</v>
      </c>
      <c r="AH534">
        <v>0</v>
      </c>
      <c r="AI534">
        <v>0</v>
      </c>
      <c r="AJ534">
        <v>0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0</v>
      </c>
      <c r="AQ534">
        <v>19.940000000000001</v>
      </c>
      <c r="AR534">
        <v>0</v>
      </c>
      <c r="AS534">
        <v>0</v>
      </c>
      <c r="AT534">
        <v>0</v>
      </c>
      <c r="AU534">
        <v>0</v>
      </c>
      <c r="AV534">
        <v>0</v>
      </c>
      <c r="AW534">
        <v>0</v>
      </c>
      <c r="AX534">
        <v>0</v>
      </c>
      <c r="AY534">
        <v>0</v>
      </c>
      <c r="AZ534">
        <v>0</v>
      </c>
      <c r="BA534">
        <v>0</v>
      </c>
      <c r="BB534">
        <v>0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1</v>
      </c>
      <c r="BI534">
        <v>5.3</v>
      </c>
      <c r="BJ534">
        <v>2.8</v>
      </c>
      <c r="BK534">
        <v>6</v>
      </c>
      <c r="BL534">
        <v>59.43</v>
      </c>
      <c r="BM534">
        <v>8.91</v>
      </c>
      <c r="BN534">
        <v>68.34</v>
      </c>
      <c r="BO534">
        <v>68.34</v>
      </c>
      <c r="BQ534" t="s">
        <v>1259</v>
      </c>
      <c r="BR534" t="s">
        <v>82</v>
      </c>
      <c r="BS534" s="3">
        <v>45996</v>
      </c>
      <c r="BT534" s="4">
        <v>0.54791666666666672</v>
      </c>
      <c r="BU534" t="s">
        <v>1260</v>
      </c>
      <c r="BV534" t="s">
        <v>84</v>
      </c>
      <c r="BY534">
        <v>13868.16</v>
      </c>
      <c r="CA534" t="s">
        <v>497</v>
      </c>
      <c r="CC534" t="s">
        <v>76</v>
      </c>
      <c r="CD534">
        <v>1601</v>
      </c>
      <c r="CE534" t="s">
        <v>93</v>
      </c>
      <c r="CF534" s="3">
        <v>45997</v>
      </c>
      <c r="CI534">
        <v>1</v>
      </c>
      <c r="CJ534">
        <v>1</v>
      </c>
      <c r="CK534">
        <v>32</v>
      </c>
      <c r="CL534" t="s">
        <v>87</v>
      </c>
    </row>
    <row r="535" spans="1:90" x14ac:dyDescent="0.3">
      <c r="A535" t="s">
        <v>72</v>
      </c>
      <c r="B535" t="s">
        <v>73</v>
      </c>
      <c r="C535" t="s">
        <v>74</v>
      </c>
      <c r="E535" t="str">
        <f>"080069673365"</f>
        <v>080069673365</v>
      </c>
      <c r="F535" s="3">
        <v>45995</v>
      </c>
      <c r="G535">
        <v>202609</v>
      </c>
      <c r="H535" t="s">
        <v>75</v>
      </c>
      <c r="I535" t="s">
        <v>76</v>
      </c>
      <c r="J535" t="s">
        <v>77</v>
      </c>
      <c r="K535" t="s">
        <v>78</v>
      </c>
      <c r="L535" t="s">
        <v>692</v>
      </c>
      <c r="M535" t="s">
        <v>693</v>
      </c>
      <c r="N535" t="s">
        <v>694</v>
      </c>
      <c r="O535" t="s">
        <v>340</v>
      </c>
      <c r="P535" t="str">
        <f>"4170071885                    "</f>
        <v xml:space="preserve">4170071885                    </v>
      </c>
      <c r="Q535">
        <v>0</v>
      </c>
      <c r="R535">
        <v>0</v>
      </c>
      <c r="S535">
        <v>0</v>
      </c>
      <c r="T535">
        <v>0</v>
      </c>
      <c r="U535">
        <v>0</v>
      </c>
      <c r="V535">
        <v>0</v>
      </c>
      <c r="W535">
        <v>0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0</v>
      </c>
      <c r="AD535">
        <v>0</v>
      </c>
      <c r="AE535">
        <v>0</v>
      </c>
      <c r="AF535">
        <v>0</v>
      </c>
      <c r="AG535">
        <v>0</v>
      </c>
      <c r="AH535">
        <v>0</v>
      </c>
      <c r="AI535">
        <v>0</v>
      </c>
      <c r="AJ535">
        <v>0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78.98</v>
      </c>
      <c r="AR535">
        <v>0</v>
      </c>
      <c r="AS535">
        <v>0</v>
      </c>
      <c r="AT535">
        <v>0</v>
      </c>
      <c r="AU535">
        <v>0</v>
      </c>
      <c r="AV535">
        <v>0</v>
      </c>
      <c r="AW535">
        <v>0</v>
      </c>
      <c r="AX535">
        <v>0</v>
      </c>
      <c r="AY535">
        <v>0</v>
      </c>
      <c r="AZ535">
        <v>0</v>
      </c>
      <c r="BA535">
        <v>0</v>
      </c>
      <c r="BB535">
        <v>0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1</v>
      </c>
      <c r="BI535">
        <v>3.6</v>
      </c>
      <c r="BJ535">
        <v>1.6</v>
      </c>
      <c r="BK535">
        <v>4</v>
      </c>
      <c r="BL535">
        <v>235.38</v>
      </c>
      <c r="BM535">
        <v>35.31</v>
      </c>
      <c r="BN535">
        <v>270.69</v>
      </c>
      <c r="BO535">
        <v>270.69</v>
      </c>
      <c r="BQ535" t="s">
        <v>695</v>
      </c>
      <c r="BR535" t="s">
        <v>82</v>
      </c>
      <c r="BS535" s="3">
        <v>45996</v>
      </c>
      <c r="BT535" s="4">
        <v>0.66666666666666663</v>
      </c>
      <c r="BU535" t="s">
        <v>1261</v>
      </c>
      <c r="BV535" t="s">
        <v>84</v>
      </c>
      <c r="BY535">
        <v>7796.25</v>
      </c>
      <c r="CC535" t="s">
        <v>693</v>
      </c>
      <c r="CD535">
        <v>1759</v>
      </c>
      <c r="CE535" t="s">
        <v>93</v>
      </c>
      <c r="CF535" s="3">
        <v>45997</v>
      </c>
      <c r="CI535">
        <v>1</v>
      </c>
      <c r="CJ535">
        <v>1</v>
      </c>
      <c r="CK535">
        <v>34</v>
      </c>
      <c r="CL535" t="s">
        <v>87</v>
      </c>
    </row>
    <row r="536" spans="1:90" x14ac:dyDescent="0.3">
      <c r="A536" t="s">
        <v>72</v>
      </c>
      <c r="B536" t="s">
        <v>73</v>
      </c>
      <c r="C536" t="s">
        <v>74</v>
      </c>
      <c r="E536" t="str">
        <f>"080069673535"</f>
        <v>080069673535</v>
      </c>
      <c r="F536" s="3">
        <v>45995</v>
      </c>
      <c r="G536">
        <v>202609</v>
      </c>
      <c r="H536" t="s">
        <v>75</v>
      </c>
      <c r="I536" t="s">
        <v>76</v>
      </c>
      <c r="J536" t="s">
        <v>77</v>
      </c>
      <c r="K536" t="s">
        <v>78</v>
      </c>
      <c r="L536" t="s">
        <v>265</v>
      </c>
      <c r="M536" t="s">
        <v>266</v>
      </c>
      <c r="N536" t="s">
        <v>414</v>
      </c>
      <c r="O536" t="s">
        <v>340</v>
      </c>
      <c r="P536" t="str">
        <f>"4170071815                    "</f>
        <v xml:space="preserve">4170071815                    </v>
      </c>
      <c r="Q536">
        <v>0</v>
      </c>
      <c r="R536">
        <v>0</v>
      </c>
      <c r="S536">
        <v>0</v>
      </c>
      <c r="T536">
        <v>0</v>
      </c>
      <c r="U536">
        <v>0</v>
      </c>
      <c r="V536">
        <v>0</v>
      </c>
      <c r="W536">
        <v>0</v>
      </c>
      <c r="X536">
        <v>0</v>
      </c>
      <c r="Y536">
        <v>0</v>
      </c>
      <c r="Z536">
        <v>0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0</v>
      </c>
      <c r="AJ536">
        <v>0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19.940000000000001</v>
      </c>
      <c r="AR536">
        <v>0</v>
      </c>
      <c r="AS536">
        <v>0</v>
      </c>
      <c r="AT536">
        <v>0</v>
      </c>
      <c r="AU536">
        <v>0</v>
      </c>
      <c r="AV536">
        <v>0</v>
      </c>
      <c r="AW536">
        <v>0</v>
      </c>
      <c r="AX536">
        <v>0</v>
      </c>
      <c r="AY536">
        <v>0</v>
      </c>
      <c r="AZ536">
        <v>0</v>
      </c>
      <c r="BA536">
        <v>0</v>
      </c>
      <c r="BB536">
        <v>0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2</v>
      </c>
      <c r="BI536">
        <v>6.2</v>
      </c>
      <c r="BJ536">
        <v>4.9000000000000004</v>
      </c>
      <c r="BK536">
        <v>7</v>
      </c>
      <c r="BL536">
        <v>59.43</v>
      </c>
      <c r="BM536">
        <v>8.91</v>
      </c>
      <c r="BN536">
        <v>68.34</v>
      </c>
      <c r="BO536">
        <v>68.34</v>
      </c>
      <c r="BQ536" t="s">
        <v>415</v>
      </c>
      <c r="BR536" t="s">
        <v>82</v>
      </c>
      <c r="BS536" s="3">
        <v>45996</v>
      </c>
      <c r="BT536" s="4">
        <v>0.47222222222222221</v>
      </c>
      <c r="BU536" t="s">
        <v>1262</v>
      </c>
      <c r="BV536" t="s">
        <v>84</v>
      </c>
      <c r="BY536">
        <v>24438.09</v>
      </c>
      <c r="CA536" t="s">
        <v>417</v>
      </c>
      <c r="CC536" t="s">
        <v>266</v>
      </c>
      <c r="CD536">
        <v>1459</v>
      </c>
      <c r="CE536" t="s">
        <v>134</v>
      </c>
      <c r="CF536" s="3">
        <v>45996</v>
      </c>
      <c r="CI536">
        <v>1</v>
      </c>
      <c r="CJ536">
        <v>1</v>
      </c>
      <c r="CK536">
        <v>32</v>
      </c>
      <c r="CL536" t="s">
        <v>87</v>
      </c>
    </row>
    <row r="537" spans="1:90" x14ac:dyDescent="0.3">
      <c r="A537" t="s">
        <v>72</v>
      </c>
      <c r="B537" t="s">
        <v>73</v>
      </c>
      <c r="C537" t="s">
        <v>74</v>
      </c>
      <c r="E537" t="str">
        <f>"080069673631"</f>
        <v>080069673631</v>
      </c>
      <c r="F537" s="3">
        <v>45995</v>
      </c>
      <c r="G537">
        <v>202609</v>
      </c>
      <c r="H537" t="s">
        <v>75</v>
      </c>
      <c r="I537" t="s">
        <v>76</v>
      </c>
      <c r="J537" t="s">
        <v>77</v>
      </c>
      <c r="K537" t="s">
        <v>78</v>
      </c>
      <c r="L537" t="s">
        <v>156</v>
      </c>
      <c r="M537" t="s">
        <v>157</v>
      </c>
      <c r="N537" t="s">
        <v>1117</v>
      </c>
      <c r="O537" t="s">
        <v>89</v>
      </c>
      <c r="P537" t="str">
        <f>"4170071787                    "</f>
        <v xml:space="preserve">4170071787                    </v>
      </c>
      <c r="Q537">
        <v>0</v>
      </c>
      <c r="R537">
        <v>0</v>
      </c>
      <c r="S537">
        <v>0</v>
      </c>
      <c r="T537">
        <v>0</v>
      </c>
      <c r="U537">
        <v>0</v>
      </c>
      <c r="V537">
        <v>0</v>
      </c>
      <c r="W537">
        <v>0</v>
      </c>
      <c r="X537">
        <v>0</v>
      </c>
      <c r="Y537">
        <v>0</v>
      </c>
      <c r="Z537">
        <v>0</v>
      </c>
      <c r="AA537">
        <v>0</v>
      </c>
      <c r="AB537">
        <v>0</v>
      </c>
      <c r="AC537">
        <v>0</v>
      </c>
      <c r="AD537">
        <v>0</v>
      </c>
      <c r="AE537">
        <v>0</v>
      </c>
      <c r="AF537">
        <v>0</v>
      </c>
      <c r="AG537">
        <v>0</v>
      </c>
      <c r="AH537">
        <v>0</v>
      </c>
      <c r="AI537">
        <v>0</v>
      </c>
      <c r="AJ537">
        <v>0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25.52</v>
      </c>
      <c r="AR537">
        <v>0</v>
      </c>
      <c r="AS537">
        <v>0</v>
      </c>
      <c r="AT537">
        <v>0</v>
      </c>
      <c r="AU537">
        <v>0</v>
      </c>
      <c r="AV537">
        <v>0</v>
      </c>
      <c r="AW537">
        <v>0</v>
      </c>
      <c r="AX537">
        <v>0</v>
      </c>
      <c r="AY537">
        <v>0</v>
      </c>
      <c r="AZ537">
        <v>0</v>
      </c>
      <c r="BA537">
        <v>0</v>
      </c>
      <c r="BB537">
        <v>0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1</v>
      </c>
      <c r="BI537">
        <v>2</v>
      </c>
      <c r="BJ537">
        <v>1.1000000000000001</v>
      </c>
      <c r="BK537">
        <v>2</v>
      </c>
      <c r="BL537">
        <v>76.06</v>
      </c>
      <c r="BM537">
        <v>11.41</v>
      </c>
      <c r="BN537">
        <v>87.47</v>
      </c>
      <c r="BO537">
        <v>87.47</v>
      </c>
      <c r="BQ537" t="s">
        <v>1118</v>
      </c>
      <c r="BR537" t="s">
        <v>82</v>
      </c>
      <c r="BS537" s="3">
        <v>45996</v>
      </c>
      <c r="BT537" s="4">
        <v>0.48680555555555555</v>
      </c>
      <c r="BU537" t="s">
        <v>1263</v>
      </c>
      <c r="BV537" t="s">
        <v>87</v>
      </c>
      <c r="BW537" t="s">
        <v>153</v>
      </c>
      <c r="BX537" t="s">
        <v>996</v>
      </c>
      <c r="BY537">
        <v>5510</v>
      </c>
      <c r="CA537" t="s">
        <v>1264</v>
      </c>
      <c r="CC537" t="s">
        <v>157</v>
      </c>
      <c r="CD537">
        <v>7441</v>
      </c>
      <c r="CE537" t="s">
        <v>86</v>
      </c>
      <c r="CF537" s="3">
        <v>45999</v>
      </c>
      <c r="CI537">
        <v>1</v>
      </c>
      <c r="CJ537">
        <v>1</v>
      </c>
      <c r="CK537">
        <v>21</v>
      </c>
      <c r="CL537" t="s">
        <v>87</v>
      </c>
    </row>
    <row r="538" spans="1:90" x14ac:dyDescent="0.3">
      <c r="A538" t="s">
        <v>72</v>
      </c>
      <c r="B538" t="s">
        <v>73</v>
      </c>
      <c r="C538" t="s">
        <v>74</v>
      </c>
      <c r="E538" t="str">
        <f>"080069673675"</f>
        <v>080069673675</v>
      </c>
      <c r="F538" s="3">
        <v>45995</v>
      </c>
      <c r="G538">
        <v>202609</v>
      </c>
      <c r="H538" t="s">
        <v>75</v>
      </c>
      <c r="I538" t="s">
        <v>76</v>
      </c>
      <c r="J538" t="s">
        <v>77</v>
      </c>
      <c r="K538" t="s">
        <v>78</v>
      </c>
      <c r="L538" t="s">
        <v>135</v>
      </c>
      <c r="M538" t="s">
        <v>136</v>
      </c>
      <c r="N538" t="s">
        <v>137</v>
      </c>
      <c r="O538" t="s">
        <v>89</v>
      </c>
      <c r="P538" t="str">
        <f>"4170071736                    "</f>
        <v xml:space="preserve">4170071736                    </v>
      </c>
      <c r="Q538">
        <v>0</v>
      </c>
      <c r="R538">
        <v>0</v>
      </c>
      <c r="S538">
        <v>0</v>
      </c>
      <c r="T538">
        <v>0</v>
      </c>
      <c r="U538">
        <v>0</v>
      </c>
      <c r="V538">
        <v>0</v>
      </c>
      <c r="W538">
        <v>0</v>
      </c>
      <c r="X538">
        <v>0</v>
      </c>
      <c r="Y538">
        <v>0</v>
      </c>
      <c r="Z538">
        <v>0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0</v>
      </c>
      <c r="AI538">
        <v>0</v>
      </c>
      <c r="AJ538">
        <v>0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49.45</v>
      </c>
      <c r="AR538">
        <v>0</v>
      </c>
      <c r="AS538">
        <v>0</v>
      </c>
      <c r="AT538">
        <v>0</v>
      </c>
      <c r="AU538">
        <v>0</v>
      </c>
      <c r="AV538">
        <v>0</v>
      </c>
      <c r="AW538">
        <v>0</v>
      </c>
      <c r="AX538">
        <v>0</v>
      </c>
      <c r="AY538">
        <v>0</v>
      </c>
      <c r="AZ538">
        <v>0</v>
      </c>
      <c r="BA538">
        <v>0</v>
      </c>
      <c r="BB538">
        <v>0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1</v>
      </c>
      <c r="BI538">
        <v>1</v>
      </c>
      <c r="BJ538">
        <v>1.8</v>
      </c>
      <c r="BK538">
        <v>2</v>
      </c>
      <c r="BL538">
        <v>147.38</v>
      </c>
      <c r="BM538">
        <v>22.11</v>
      </c>
      <c r="BN538">
        <v>169.49</v>
      </c>
      <c r="BO538">
        <v>169.49</v>
      </c>
      <c r="BQ538" t="s">
        <v>138</v>
      </c>
      <c r="BR538" t="s">
        <v>82</v>
      </c>
      <c r="BS538" s="3">
        <v>45996</v>
      </c>
      <c r="BT538" s="4">
        <v>0.44374999999999998</v>
      </c>
      <c r="BU538" t="s">
        <v>1265</v>
      </c>
      <c r="BV538" t="s">
        <v>84</v>
      </c>
      <c r="BY538">
        <v>8816</v>
      </c>
      <c r="CA538" t="s">
        <v>140</v>
      </c>
      <c r="CC538" t="s">
        <v>136</v>
      </c>
      <c r="CD538">
        <v>7110</v>
      </c>
      <c r="CE538" t="s">
        <v>86</v>
      </c>
      <c r="CF538" s="3">
        <v>45999</v>
      </c>
      <c r="CI538">
        <v>1</v>
      </c>
      <c r="CJ538">
        <v>1</v>
      </c>
      <c r="CK538">
        <v>23</v>
      </c>
      <c r="CL538" t="s">
        <v>87</v>
      </c>
    </row>
    <row r="539" spans="1:90" x14ac:dyDescent="0.3">
      <c r="A539" t="s">
        <v>72</v>
      </c>
      <c r="B539" t="s">
        <v>73</v>
      </c>
      <c r="C539" t="s">
        <v>74</v>
      </c>
      <c r="E539" t="str">
        <f>"080069673716"</f>
        <v>080069673716</v>
      </c>
      <c r="F539" s="3">
        <v>45995</v>
      </c>
      <c r="G539">
        <v>202609</v>
      </c>
      <c r="H539" t="s">
        <v>75</v>
      </c>
      <c r="I539" t="s">
        <v>76</v>
      </c>
      <c r="J539" t="s">
        <v>77</v>
      </c>
      <c r="K539" t="s">
        <v>78</v>
      </c>
      <c r="L539" t="s">
        <v>75</v>
      </c>
      <c r="M539" t="s">
        <v>76</v>
      </c>
      <c r="N539" t="s">
        <v>79</v>
      </c>
      <c r="O539" t="s">
        <v>89</v>
      </c>
      <c r="P539" t="str">
        <f>"4170071788                    "</f>
        <v xml:space="preserve">4170071788                    </v>
      </c>
      <c r="Q539">
        <v>0</v>
      </c>
      <c r="R539">
        <v>0</v>
      </c>
      <c r="S539">
        <v>0</v>
      </c>
      <c r="T539">
        <v>0</v>
      </c>
      <c r="U539">
        <v>0</v>
      </c>
      <c r="V539">
        <v>0</v>
      </c>
      <c r="W539">
        <v>0</v>
      </c>
      <c r="X539">
        <v>0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0</v>
      </c>
      <c r="AE539">
        <v>0</v>
      </c>
      <c r="AF539">
        <v>0</v>
      </c>
      <c r="AG539">
        <v>0</v>
      </c>
      <c r="AH539">
        <v>0</v>
      </c>
      <c r="AI539">
        <v>0</v>
      </c>
      <c r="AJ539">
        <v>0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19.940000000000001</v>
      </c>
      <c r="AR539">
        <v>0</v>
      </c>
      <c r="AS539">
        <v>0</v>
      </c>
      <c r="AT539">
        <v>0</v>
      </c>
      <c r="AU539">
        <v>0</v>
      </c>
      <c r="AV539">
        <v>0</v>
      </c>
      <c r="AW539">
        <v>0</v>
      </c>
      <c r="AX539">
        <v>0</v>
      </c>
      <c r="AY539">
        <v>0</v>
      </c>
      <c r="AZ539">
        <v>0</v>
      </c>
      <c r="BA539">
        <v>0</v>
      </c>
      <c r="BB539">
        <v>0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1</v>
      </c>
      <c r="BI539">
        <v>0.8</v>
      </c>
      <c r="BJ539">
        <v>1</v>
      </c>
      <c r="BK539">
        <v>1</v>
      </c>
      <c r="BL539">
        <v>59.42</v>
      </c>
      <c r="BM539">
        <v>8.91</v>
      </c>
      <c r="BN539">
        <v>68.33</v>
      </c>
      <c r="BO539">
        <v>68.33</v>
      </c>
      <c r="BQ539" t="s">
        <v>81</v>
      </c>
      <c r="BR539" t="s">
        <v>82</v>
      </c>
      <c r="BS539" s="3">
        <v>45996</v>
      </c>
      <c r="BT539" s="4">
        <v>0.34722222222222221</v>
      </c>
      <c r="BU539" t="s">
        <v>83</v>
      </c>
      <c r="BV539" t="s">
        <v>84</v>
      </c>
      <c r="BY539">
        <v>5245.2</v>
      </c>
      <c r="CA539" t="s">
        <v>85</v>
      </c>
      <c r="CC539" t="s">
        <v>76</v>
      </c>
      <c r="CD539">
        <v>1619</v>
      </c>
      <c r="CE539" t="s">
        <v>86</v>
      </c>
      <c r="CF539" s="3">
        <v>46000</v>
      </c>
      <c r="CI539">
        <v>1</v>
      </c>
      <c r="CJ539">
        <v>1</v>
      </c>
      <c r="CK539">
        <v>22</v>
      </c>
      <c r="CL539" t="s">
        <v>87</v>
      </c>
    </row>
    <row r="540" spans="1:90" x14ac:dyDescent="0.3">
      <c r="A540" t="s">
        <v>72</v>
      </c>
      <c r="B540" t="s">
        <v>73</v>
      </c>
      <c r="C540" t="s">
        <v>74</v>
      </c>
      <c r="E540" t="str">
        <f>"080069673757"</f>
        <v>080069673757</v>
      </c>
      <c r="F540" s="3">
        <v>45995</v>
      </c>
      <c r="G540">
        <v>202609</v>
      </c>
      <c r="H540" t="s">
        <v>75</v>
      </c>
      <c r="I540" t="s">
        <v>76</v>
      </c>
      <c r="J540" t="s">
        <v>77</v>
      </c>
      <c r="K540" t="s">
        <v>78</v>
      </c>
      <c r="L540" t="s">
        <v>351</v>
      </c>
      <c r="M540" t="s">
        <v>352</v>
      </c>
      <c r="N540" t="s">
        <v>1266</v>
      </c>
      <c r="O540" t="s">
        <v>89</v>
      </c>
      <c r="P540" t="str">
        <f>"4170071817                    "</f>
        <v xml:space="preserve">4170071817                    </v>
      </c>
      <c r="Q540">
        <v>0</v>
      </c>
      <c r="R540">
        <v>0</v>
      </c>
      <c r="S540">
        <v>0</v>
      </c>
      <c r="T540">
        <v>0</v>
      </c>
      <c r="U540">
        <v>0</v>
      </c>
      <c r="V540">
        <v>0</v>
      </c>
      <c r="W540">
        <v>0</v>
      </c>
      <c r="X540">
        <v>0</v>
      </c>
      <c r="Y540">
        <v>0</v>
      </c>
      <c r="Z540">
        <v>0</v>
      </c>
      <c r="AA540">
        <v>0</v>
      </c>
      <c r="AB540">
        <v>0</v>
      </c>
      <c r="AC540">
        <v>0</v>
      </c>
      <c r="AD540">
        <v>0</v>
      </c>
      <c r="AE540">
        <v>0</v>
      </c>
      <c r="AF540">
        <v>0</v>
      </c>
      <c r="AG540">
        <v>0</v>
      </c>
      <c r="AH540">
        <v>0</v>
      </c>
      <c r="AI540">
        <v>0</v>
      </c>
      <c r="AJ540">
        <v>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35.9</v>
      </c>
      <c r="AR540">
        <v>0</v>
      </c>
      <c r="AS540">
        <v>0</v>
      </c>
      <c r="AT540">
        <v>0</v>
      </c>
      <c r="AU540">
        <v>0</v>
      </c>
      <c r="AV540">
        <v>0</v>
      </c>
      <c r="AW540">
        <v>0</v>
      </c>
      <c r="AX540">
        <v>0</v>
      </c>
      <c r="AY540">
        <v>0</v>
      </c>
      <c r="AZ540">
        <v>0</v>
      </c>
      <c r="BA540">
        <v>0</v>
      </c>
      <c r="BB540">
        <v>0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1</v>
      </c>
      <c r="BI540">
        <v>0.6</v>
      </c>
      <c r="BJ540">
        <v>0.8</v>
      </c>
      <c r="BK540">
        <v>1</v>
      </c>
      <c r="BL540">
        <v>106.98</v>
      </c>
      <c r="BM540">
        <v>16.05</v>
      </c>
      <c r="BN540">
        <v>123.03</v>
      </c>
      <c r="BO540">
        <v>123.03</v>
      </c>
      <c r="BQ540" t="s">
        <v>1267</v>
      </c>
      <c r="BR540" t="s">
        <v>82</v>
      </c>
      <c r="BS540" s="3">
        <v>45996</v>
      </c>
      <c r="BT540" s="4">
        <v>0.43263888888888891</v>
      </c>
      <c r="BU540" t="s">
        <v>1268</v>
      </c>
      <c r="BV540" t="s">
        <v>84</v>
      </c>
      <c r="BY540">
        <v>3933.93</v>
      </c>
      <c r="CA540" t="s">
        <v>1269</v>
      </c>
      <c r="CC540" t="s">
        <v>352</v>
      </c>
      <c r="CD540">
        <v>1438</v>
      </c>
      <c r="CE540" t="s">
        <v>86</v>
      </c>
      <c r="CF540" s="3">
        <v>45997</v>
      </c>
      <c r="CI540">
        <v>1</v>
      </c>
      <c r="CJ540">
        <v>1</v>
      </c>
      <c r="CK540">
        <v>24</v>
      </c>
      <c r="CL540" t="s">
        <v>87</v>
      </c>
    </row>
    <row r="541" spans="1:90" x14ac:dyDescent="0.3">
      <c r="A541" t="s">
        <v>72</v>
      </c>
      <c r="B541" t="s">
        <v>73</v>
      </c>
      <c r="C541" t="s">
        <v>74</v>
      </c>
      <c r="E541" t="str">
        <f>"080069673804"</f>
        <v>080069673804</v>
      </c>
      <c r="F541" s="3">
        <v>45995</v>
      </c>
      <c r="G541">
        <v>202609</v>
      </c>
      <c r="H541" t="s">
        <v>75</v>
      </c>
      <c r="I541" t="s">
        <v>76</v>
      </c>
      <c r="J541" t="s">
        <v>77</v>
      </c>
      <c r="K541" t="s">
        <v>78</v>
      </c>
      <c r="L541" t="s">
        <v>156</v>
      </c>
      <c r="M541" t="s">
        <v>157</v>
      </c>
      <c r="N541" t="s">
        <v>443</v>
      </c>
      <c r="O541" t="s">
        <v>89</v>
      </c>
      <c r="P541" t="str">
        <f>"4170071896                    "</f>
        <v xml:space="preserve">4170071896                    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0</v>
      </c>
      <c r="W541">
        <v>0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0</v>
      </c>
      <c r="AD541">
        <v>0</v>
      </c>
      <c r="AE541">
        <v>0</v>
      </c>
      <c r="AF541">
        <v>0</v>
      </c>
      <c r="AG541">
        <v>0</v>
      </c>
      <c r="AH541">
        <v>0</v>
      </c>
      <c r="AI541">
        <v>0</v>
      </c>
      <c r="AJ541">
        <v>0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127.57</v>
      </c>
      <c r="AR541">
        <v>0</v>
      </c>
      <c r="AS541">
        <v>0</v>
      </c>
      <c r="AT541">
        <v>0</v>
      </c>
      <c r="AU541">
        <v>0</v>
      </c>
      <c r="AV541">
        <v>0</v>
      </c>
      <c r="AW541">
        <v>0</v>
      </c>
      <c r="AX541">
        <v>0</v>
      </c>
      <c r="AY541">
        <v>0</v>
      </c>
      <c r="AZ541">
        <v>0</v>
      </c>
      <c r="BA541">
        <v>0</v>
      </c>
      <c r="BB541">
        <v>0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1</v>
      </c>
      <c r="BI541">
        <v>6</v>
      </c>
      <c r="BJ541">
        <v>9.9</v>
      </c>
      <c r="BK541">
        <v>10</v>
      </c>
      <c r="BL541">
        <v>380.19</v>
      </c>
      <c r="BM541">
        <v>57.03</v>
      </c>
      <c r="BN541">
        <v>437.22</v>
      </c>
      <c r="BO541">
        <v>437.22</v>
      </c>
      <c r="BQ541" t="s">
        <v>444</v>
      </c>
      <c r="BR541" t="s">
        <v>82</v>
      </c>
      <c r="BS541" s="3">
        <v>45996</v>
      </c>
      <c r="BT541" s="4">
        <v>0.40277777777777779</v>
      </c>
      <c r="BU541" t="s">
        <v>1194</v>
      </c>
      <c r="BV541" t="s">
        <v>84</v>
      </c>
      <c r="BY541">
        <v>49368</v>
      </c>
      <c r="CA541" t="s">
        <v>346</v>
      </c>
      <c r="CC541" t="s">
        <v>157</v>
      </c>
      <c r="CD541">
        <v>7530</v>
      </c>
      <c r="CE541" t="s">
        <v>93</v>
      </c>
      <c r="CF541" s="3">
        <v>45999</v>
      </c>
      <c r="CI541">
        <v>1</v>
      </c>
      <c r="CJ541">
        <v>1</v>
      </c>
      <c r="CK541">
        <v>21</v>
      </c>
      <c r="CL541" t="s">
        <v>87</v>
      </c>
    </row>
    <row r="542" spans="1:90" x14ac:dyDescent="0.3">
      <c r="A542" t="s">
        <v>72</v>
      </c>
      <c r="B542" t="s">
        <v>73</v>
      </c>
      <c r="C542" t="s">
        <v>74</v>
      </c>
      <c r="E542" t="str">
        <f>"080069673843"</f>
        <v>080069673843</v>
      </c>
      <c r="F542" s="3">
        <v>45995</v>
      </c>
      <c r="G542">
        <v>202609</v>
      </c>
      <c r="H542" t="s">
        <v>75</v>
      </c>
      <c r="I542" t="s">
        <v>76</v>
      </c>
      <c r="J542" t="s">
        <v>77</v>
      </c>
      <c r="K542" t="s">
        <v>78</v>
      </c>
      <c r="L542" t="s">
        <v>176</v>
      </c>
      <c r="M542" t="s">
        <v>177</v>
      </c>
      <c r="N542" t="s">
        <v>178</v>
      </c>
      <c r="O542" t="s">
        <v>89</v>
      </c>
      <c r="P542" t="str">
        <f>"4170071306                    "</f>
        <v xml:space="preserve">4170071306                    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0</v>
      </c>
      <c r="AG542">
        <v>0</v>
      </c>
      <c r="AH542">
        <v>0</v>
      </c>
      <c r="AI542">
        <v>0</v>
      </c>
      <c r="AJ542">
        <v>0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19.940000000000001</v>
      </c>
      <c r="AR542">
        <v>0</v>
      </c>
      <c r="AS542">
        <v>0</v>
      </c>
      <c r="AT542">
        <v>0</v>
      </c>
      <c r="AU542">
        <v>0</v>
      </c>
      <c r="AV542">
        <v>0</v>
      </c>
      <c r="AW542">
        <v>0</v>
      </c>
      <c r="AX542">
        <v>0</v>
      </c>
      <c r="AY542">
        <v>0</v>
      </c>
      <c r="AZ542">
        <v>0</v>
      </c>
      <c r="BA542">
        <v>0</v>
      </c>
      <c r="BB542">
        <v>0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1</v>
      </c>
      <c r="BI542">
        <v>1.8</v>
      </c>
      <c r="BJ542">
        <v>3.6</v>
      </c>
      <c r="BK542">
        <v>4</v>
      </c>
      <c r="BL542">
        <v>59.42</v>
      </c>
      <c r="BM542">
        <v>8.91</v>
      </c>
      <c r="BN542">
        <v>68.33</v>
      </c>
      <c r="BO542">
        <v>68.33</v>
      </c>
      <c r="BQ542" t="s">
        <v>179</v>
      </c>
      <c r="BR542" t="s">
        <v>82</v>
      </c>
      <c r="BS542" s="3">
        <v>45996</v>
      </c>
      <c r="BT542" s="4">
        <v>0.38194444444444442</v>
      </c>
      <c r="BU542" t="s">
        <v>180</v>
      </c>
      <c r="BV542" t="s">
        <v>84</v>
      </c>
      <c r="BY542">
        <v>17859.939999999999</v>
      </c>
      <c r="CA542" t="s">
        <v>182</v>
      </c>
      <c r="CC542" t="s">
        <v>177</v>
      </c>
      <c r="CD542">
        <v>2094</v>
      </c>
      <c r="CE542" t="s">
        <v>93</v>
      </c>
      <c r="CF542" s="3">
        <v>45996</v>
      </c>
      <c r="CI542">
        <v>1</v>
      </c>
      <c r="CJ542">
        <v>1</v>
      </c>
      <c r="CK542">
        <v>22</v>
      </c>
      <c r="CL542" t="s">
        <v>87</v>
      </c>
    </row>
    <row r="543" spans="1:90" x14ac:dyDescent="0.3">
      <c r="A543" t="s">
        <v>72</v>
      </c>
      <c r="B543" t="s">
        <v>73</v>
      </c>
      <c r="C543" t="s">
        <v>74</v>
      </c>
      <c r="E543" t="str">
        <f>"080069673878"</f>
        <v>080069673878</v>
      </c>
      <c r="F543" s="3">
        <v>45995</v>
      </c>
      <c r="G543">
        <v>202609</v>
      </c>
      <c r="H543" t="s">
        <v>75</v>
      </c>
      <c r="I543" t="s">
        <v>76</v>
      </c>
      <c r="J543" t="s">
        <v>77</v>
      </c>
      <c r="K543" t="s">
        <v>78</v>
      </c>
      <c r="L543" t="s">
        <v>535</v>
      </c>
      <c r="M543" t="s">
        <v>535</v>
      </c>
      <c r="N543" t="s">
        <v>556</v>
      </c>
      <c r="O543" t="s">
        <v>89</v>
      </c>
      <c r="P543" t="str">
        <f>"4170071806                    "</f>
        <v xml:space="preserve">4170071806                    </v>
      </c>
      <c r="Q543">
        <v>0</v>
      </c>
      <c r="R543">
        <v>0</v>
      </c>
      <c r="S543">
        <v>0</v>
      </c>
      <c r="T543">
        <v>0</v>
      </c>
      <c r="U543">
        <v>0</v>
      </c>
      <c r="V543">
        <v>0</v>
      </c>
      <c r="W543">
        <v>0</v>
      </c>
      <c r="X543">
        <v>0</v>
      </c>
      <c r="Y543">
        <v>0</v>
      </c>
      <c r="Z543">
        <v>0</v>
      </c>
      <c r="AA543">
        <v>0</v>
      </c>
      <c r="AB543">
        <v>0</v>
      </c>
      <c r="AC543">
        <v>0</v>
      </c>
      <c r="AD543">
        <v>0</v>
      </c>
      <c r="AE543">
        <v>0</v>
      </c>
      <c r="AF543">
        <v>0</v>
      </c>
      <c r="AG543">
        <v>0</v>
      </c>
      <c r="AH543">
        <v>0</v>
      </c>
      <c r="AI543">
        <v>0</v>
      </c>
      <c r="AJ543">
        <v>0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49.45</v>
      </c>
      <c r="AR543">
        <v>0</v>
      </c>
      <c r="AS543">
        <v>0</v>
      </c>
      <c r="AT543">
        <v>0</v>
      </c>
      <c r="AU543">
        <v>0</v>
      </c>
      <c r="AV543">
        <v>0</v>
      </c>
      <c r="AW543">
        <v>0</v>
      </c>
      <c r="AX543">
        <v>0</v>
      </c>
      <c r="AY543">
        <v>0</v>
      </c>
      <c r="AZ543">
        <v>0</v>
      </c>
      <c r="BA543">
        <v>0</v>
      </c>
      <c r="BB543">
        <v>0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1</v>
      </c>
      <c r="BI543">
        <v>2</v>
      </c>
      <c r="BJ543">
        <v>1.4</v>
      </c>
      <c r="BK543">
        <v>2</v>
      </c>
      <c r="BL543">
        <v>147.38</v>
      </c>
      <c r="BM543">
        <v>22.11</v>
      </c>
      <c r="BN543">
        <v>169.49</v>
      </c>
      <c r="BO543">
        <v>169.49</v>
      </c>
      <c r="BQ543" t="s">
        <v>557</v>
      </c>
      <c r="BR543" t="s">
        <v>82</v>
      </c>
      <c r="BS543" s="3">
        <v>45996</v>
      </c>
      <c r="BT543" s="4">
        <v>0.72638888888888886</v>
      </c>
      <c r="BU543" t="s">
        <v>1239</v>
      </c>
      <c r="BV543" t="s">
        <v>87</v>
      </c>
      <c r="BW543" t="s">
        <v>153</v>
      </c>
      <c r="BX543" t="s">
        <v>345</v>
      </c>
      <c r="BY543">
        <v>7000</v>
      </c>
      <c r="CA543" t="s">
        <v>539</v>
      </c>
      <c r="CC543" t="s">
        <v>535</v>
      </c>
      <c r="CD543">
        <v>7646</v>
      </c>
      <c r="CE543" t="s">
        <v>86</v>
      </c>
      <c r="CF543" s="3">
        <v>45999</v>
      </c>
      <c r="CI543">
        <v>1</v>
      </c>
      <c r="CJ543">
        <v>1</v>
      </c>
      <c r="CK543">
        <v>23</v>
      </c>
      <c r="CL543" t="s">
        <v>87</v>
      </c>
    </row>
    <row r="544" spans="1:90" x14ac:dyDescent="0.3">
      <c r="A544" t="s">
        <v>72</v>
      </c>
      <c r="B544" t="s">
        <v>73</v>
      </c>
      <c r="C544" t="s">
        <v>74</v>
      </c>
      <c r="E544" t="str">
        <f>"080069673930"</f>
        <v>080069673930</v>
      </c>
      <c r="F544" s="3">
        <v>45995</v>
      </c>
      <c r="G544">
        <v>202609</v>
      </c>
      <c r="H544" t="s">
        <v>75</v>
      </c>
      <c r="I544" t="s">
        <v>76</v>
      </c>
      <c r="J544" t="s">
        <v>77</v>
      </c>
      <c r="K544" t="s">
        <v>78</v>
      </c>
      <c r="L544" t="s">
        <v>698</v>
      </c>
      <c r="M544" t="s">
        <v>698</v>
      </c>
      <c r="N544" t="s">
        <v>543</v>
      </c>
      <c r="O544" t="s">
        <v>340</v>
      </c>
      <c r="P544" t="str">
        <f>"4170071685                    "</f>
        <v xml:space="preserve">4170071685                    </v>
      </c>
      <c r="Q544">
        <v>0</v>
      </c>
      <c r="R544">
        <v>0</v>
      </c>
      <c r="S544">
        <v>0</v>
      </c>
      <c r="T544">
        <v>0</v>
      </c>
      <c r="U544">
        <v>0</v>
      </c>
      <c r="V544">
        <v>0</v>
      </c>
      <c r="W544">
        <v>0</v>
      </c>
      <c r="X544">
        <v>0</v>
      </c>
      <c r="Y544">
        <v>0</v>
      </c>
      <c r="Z544">
        <v>0</v>
      </c>
      <c r="AA544">
        <v>0</v>
      </c>
      <c r="AB544">
        <v>0</v>
      </c>
      <c r="AC544">
        <v>0</v>
      </c>
      <c r="AD544">
        <v>0</v>
      </c>
      <c r="AE544">
        <v>0</v>
      </c>
      <c r="AF544">
        <v>0</v>
      </c>
      <c r="AG544">
        <v>0</v>
      </c>
      <c r="AH544">
        <v>0</v>
      </c>
      <c r="AI544">
        <v>0</v>
      </c>
      <c r="AJ544">
        <v>0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78.98</v>
      </c>
      <c r="AR544">
        <v>0</v>
      </c>
      <c r="AS544">
        <v>0</v>
      </c>
      <c r="AT544">
        <v>0</v>
      </c>
      <c r="AU544">
        <v>0</v>
      </c>
      <c r="AV544">
        <v>0</v>
      </c>
      <c r="AW544">
        <v>0</v>
      </c>
      <c r="AX544">
        <v>0</v>
      </c>
      <c r="AY544">
        <v>0</v>
      </c>
      <c r="AZ544">
        <v>0</v>
      </c>
      <c r="BA544">
        <v>0</v>
      </c>
      <c r="BB544">
        <v>0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1</v>
      </c>
      <c r="BI544">
        <v>4</v>
      </c>
      <c r="BJ544">
        <v>1.8</v>
      </c>
      <c r="BK544">
        <v>4</v>
      </c>
      <c r="BL544">
        <v>235.38</v>
      </c>
      <c r="BM544">
        <v>35.31</v>
      </c>
      <c r="BN544">
        <v>270.69</v>
      </c>
      <c r="BO544">
        <v>270.69</v>
      </c>
      <c r="BQ544" t="s">
        <v>544</v>
      </c>
      <c r="BR544" t="s">
        <v>82</v>
      </c>
      <c r="BS544" s="3">
        <v>45996</v>
      </c>
      <c r="BT544" s="4">
        <v>0.41666666666666669</v>
      </c>
      <c r="BU544" t="s">
        <v>341</v>
      </c>
      <c r="BV544" t="s">
        <v>84</v>
      </c>
      <c r="BY544">
        <v>8816</v>
      </c>
      <c r="CA544" t="s">
        <v>1231</v>
      </c>
      <c r="CC544" t="s">
        <v>698</v>
      </c>
      <c r="CD544">
        <v>1491</v>
      </c>
      <c r="CE544" t="s">
        <v>86</v>
      </c>
      <c r="CF544" s="3">
        <v>45996</v>
      </c>
      <c r="CI544">
        <v>1</v>
      </c>
      <c r="CJ544">
        <v>1</v>
      </c>
      <c r="CK544">
        <v>34</v>
      </c>
      <c r="CL544" t="s">
        <v>87</v>
      </c>
    </row>
    <row r="545" spans="1:90" x14ac:dyDescent="0.3">
      <c r="A545" t="s">
        <v>72</v>
      </c>
      <c r="B545" t="s">
        <v>73</v>
      </c>
      <c r="C545" t="s">
        <v>74</v>
      </c>
      <c r="E545" t="str">
        <f>"080069673969"</f>
        <v>080069673969</v>
      </c>
      <c r="F545" s="3">
        <v>45995</v>
      </c>
      <c r="G545">
        <v>202609</v>
      </c>
      <c r="H545" t="s">
        <v>75</v>
      </c>
      <c r="I545" t="s">
        <v>76</v>
      </c>
      <c r="J545" t="s">
        <v>77</v>
      </c>
      <c r="K545" t="s">
        <v>78</v>
      </c>
      <c r="L545" t="s">
        <v>120</v>
      </c>
      <c r="M545" t="s">
        <v>121</v>
      </c>
      <c r="N545" t="s">
        <v>1270</v>
      </c>
      <c r="O545" t="s">
        <v>89</v>
      </c>
      <c r="P545" t="str">
        <f>"4170071798                    "</f>
        <v xml:space="preserve">4170071798                    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  <c r="W545">
        <v>0</v>
      </c>
      <c r="X545">
        <v>0</v>
      </c>
      <c r="Y545">
        <v>0</v>
      </c>
      <c r="Z545">
        <v>0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0</v>
      </c>
      <c r="AJ545">
        <v>0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25.52</v>
      </c>
      <c r="AR545">
        <v>0</v>
      </c>
      <c r="AS545">
        <v>0</v>
      </c>
      <c r="AT545">
        <v>0</v>
      </c>
      <c r="AU545">
        <v>0</v>
      </c>
      <c r="AV545">
        <v>0</v>
      </c>
      <c r="AW545">
        <v>0</v>
      </c>
      <c r="AX545">
        <v>0</v>
      </c>
      <c r="AY545">
        <v>0</v>
      </c>
      <c r="AZ545">
        <v>0</v>
      </c>
      <c r="BA545">
        <v>0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1</v>
      </c>
      <c r="BI545">
        <v>1</v>
      </c>
      <c r="BJ545">
        <v>1.1000000000000001</v>
      </c>
      <c r="BK545">
        <v>1.5</v>
      </c>
      <c r="BL545">
        <v>76.06</v>
      </c>
      <c r="BM545">
        <v>11.41</v>
      </c>
      <c r="BN545">
        <v>87.47</v>
      </c>
      <c r="BO545">
        <v>87.47</v>
      </c>
      <c r="BQ545" t="s">
        <v>1271</v>
      </c>
      <c r="BR545" t="s">
        <v>82</v>
      </c>
      <c r="BS545" s="3">
        <v>45996</v>
      </c>
      <c r="BT545" s="4">
        <v>0.43333333333333335</v>
      </c>
      <c r="BU545" t="s">
        <v>1272</v>
      </c>
      <c r="BV545" t="s">
        <v>84</v>
      </c>
      <c r="BY545">
        <v>5510</v>
      </c>
      <c r="CA545" t="s">
        <v>126</v>
      </c>
      <c r="CC545" t="s">
        <v>121</v>
      </c>
      <c r="CD545">
        <v>6229</v>
      </c>
      <c r="CE545" t="s">
        <v>86</v>
      </c>
      <c r="CF545" s="3">
        <v>45996</v>
      </c>
      <c r="CI545">
        <v>1</v>
      </c>
      <c r="CJ545">
        <v>1</v>
      </c>
      <c r="CK545">
        <v>21</v>
      </c>
      <c r="CL545" t="s">
        <v>87</v>
      </c>
    </row>
    <row r="546" spans="1:90" x14ac:dyDescent="0.3">
      <c r="A546" t="s">
        <v>72</v>
      </c>
      <c r="B546" t="s">
        <v>73</v>
      </c>
      <c r="C546" t="s">
        <v>74</v>
      </c>
      <c r="E546" t="str">
        <f>"R080069578669"</f>
        <v>R080069578669</v>
      </c>
      <c r="F546" s="3">
        <v>45995</v>
      </c>
      <c r="G546">
        <v>202609</v>
      </c>
      <c r="H546" t="s">
        <v>265</v>
      </c>
      <c r="I546" t="s">
        <v>266</v>
      </c>
      <c r="J546" t="s">
        <v>267</v>
      </c>
      <c r="K546" t="s">
        <v>78</v>
      </c>
      <c r="L546" t="s">
        <v>75</v>
      </c>
      <c r="M546" t="s">
        <v>76</v>
      </c>
      <c r="N546" t="s">
        <v>1273</v>
      </c>
      <c r="O546" t="s">
        <v>80</v>
      </c>
      <c r="P546" t="str">
        <f>"4170071205                    "</f>
        <v xml:space="preserve">4170071205                    </v>
      </c>
      <c r="Q546">
        <v>0</v>
      </c>
      <c r="R546">
        <v>0</v>
      </c>
      <c r="S546">
        <v>0</v>
      </c>
      <c r="T546">
        <v>0</v>
      </c>
      <c r="U546">
        <v>0</v>
      </c>
      <c r="V546">
        <v>0</v>
      </c>
      <c r="W546">
        <v>0</v>
      </c>
      <c r="X546">
        <v>0</v>
      </c>
      <c r="Y546">
        <v>0</v>
      </c>
      <c r="Z546">
        <v>0</v>
      </c>
      <c r="AA546">
        <v>0</v>
      </c>
      <c r="AB546">
        <v>0</v>
      </c>
      <c r="AC546">
        <v>0</v>
      </c>
      <c r="AD546">
        <v>0</v>
      </c>
      <c r="AE546">
        <v>0</v>
      </c>
      <c r="AF546">
        <v>0</v>
      </c>
      <c r="AG546">
        <v>0</v>
      </c>
      <c r="AH546">
        <v>0</v>
      </c>
      <c r="AI546">
        <v>0</v>
      </c>
      <c r="AJ546">
        <v>0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38.090000000000003</v>
      </c>
      <c r="AR546">
        <v>0</v>
      </c>
      <c r="AS546">
        <v>0</v>
      </c>
      <c r="AT546">
        <v>0</v>
      </c>
      <c r="AU546">
        <v>0</v>
      </c>
      <c r="AV546">
        <v>0</v>
      </c>
      <c r="AW546">
        <v>0</v>
      </c>
      <c r="AX546">
        <v>0</v>
      </c>
      <c r="AY546">
        <v>0</v>
      </c>
      <c r="AZ546">
        <v>0</v>
      </c>
      <c r="BA546">
        <v>0</v>
      </c>
      <c r="BB546">
        <v>0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1</v>
      </c>
      <c r="BI546">
        <v>5</v>
      </c>
      <c r="BJ546">
        <v>4.0999999999999996</v>
      </c>
      <c r="BK546">
        <v>5</v>
      </c>
      <c r="BL546">
        <v>119.61</v>
      </c>
      <c r="BM546">
        <v>17.940000000000001</v>
      </c>
      <c r="BN546">
        <v>137.55000000000001</v>
      </c>
      <c r="BO546">
        <v>137.55000000000001</v>
      </c>
      <c r="BQ546" s="5" t="s">
        <v>1274</v>
      </c>
      <c r="BR546" t="s">
        <v>268</v>
      </c>
      <c r="BS546" s="3">
        <v>45996</v>
      </c>
      <c r="BT546" s="4">
        <v>0.40555555555555556</v>
      </c>
      <c r="BU546" t="s">
        <v>1275</v>
      </c>
      <c r="BV546" t="s">
        <v>84</v>
      </c>
      <c r="BY546">
        <v>20358</v>
      </c>
      <c r="CA546" t="s">
        <v>1276</v>
      </c>
      <c r="CC546" t="s">
        <v>76</v>
      </c>
      <c r="CD546">
        <v>1609</v>
      </c>
      <c r="CE546" t="s">
        <v>86</v>
      </c>
      <c r="CF546" s="3">
        <v>45997</v>
      </c>
      <c r="CI546">
        <v>1</v>
      </c>
      <c r="CJ546">
        <v>1</v>
      </c>
      <c r="CK546">
        <v>42</v>
      </c>
      <c r="CL546" t="s">
        <v>87</v>
      </c>
    </row>
    <row r="547" spans="1:90" x14ac:dyDescent="0.3">
      <c r="A547" t="s">
        <v>72</v>
      </c>
      <c r="B547" t="s">
        <v>73</v>
      </c>
      <c r="C547" t="s">
        <v>74</v>
      </c>
      <c r="E547" t="str">
        <f>"080069674262"</f>
        <v>080069674262</v>
      </c>
      <c r="F547" s="3">
        <v>45995</v>
      </c>
      <c r="G547">
        <v>202609</v>
      </c>
      <c r="H547" t="s">
        <v>75</v>
      </c>
      <c r="I547" t="s">
        <v>76</v>
      </c>
      <c r="J547" t="s">
        <v>77</v>
      </c>
      <c r="K547" t="s">
        <v>78</v>
      </c>
      <c r="L547" t="s">
        <v>141</v>
      </c>
      <c r="M547" t="s">
        <v>142</v>
      </c>
      <c r="N547" t="s">
        <v>1277</v>
      </c>
      <c r="O547" t="s">
        <v>89</v>
      </c>
      <c r="P547" t="str">
        <f>"4170071939                    "</f>
        <v xml:space="preserve">4170071939                    </v>
      </c>
      <c r="Q547">
        <v>0</v>
      </c>
      <c r="R547">
        <v>0</v>
      </c>
      <c r="S547">
        <v>0</v>
      </c>
      <c r="T547">
        <v>0</v>
      </c>
      <c r="U547">
        <v>0</v>
      </c>
      <c r="V547">
        <v>0</v>
      </c>
      <c r="W547">
        <v>0</v>
      </c>
      <c r="X547">
        <v>0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0</v>
      </c>
      <c r="AJ547">
        <v>0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25.52</v>
      </c>
      <c r="AR547">
        <v>0</v>
      </c>
      <c r="AS547">
        <v>0</v>
      </c>
      <c r="AT547">
        <v>0</v>
      </c>
      <c r="AU547">
        <v>0</v>
      </c>
      <c r="AV547">
        <v>0</v>
      </c>
      <c r="AW547">
        <v>0</v>
      </c>
      <c r="AX547">
        <v>0</v>
      </c>
      <c r="AY547">
        <v>0</v>
      </c>
      <c r="AZ547">
        <v>0</v>
      </c>
      <c r="BA547">
        <v>0</v>
      </c>
      <c r="BB547">
        <v>0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1</v>
      </c>
      <c r="BI547">
        <v>1</v>
      </c>
      <c r="BJ547">
        <v>0.2</v>
      </c>
      <c r="BK547">
        <v>1</v>
      </c>
      <c r="BL547">
        <v>76.06</v>
      </c>
      <c r="BM547">
        <v>11.41</v>
      </c>
      <c r="BN547">
        <v>87.47</v>
      </c>
      <c r="BO547">
        <v>87.47</v>
      </c>
      <c r="BQ547" t="s">
        <v>1278</v>
      </c>
      <c r="BR547" t="s">
        <v>82</v>
      </c>
      <c r="BS547" s="3">
        <v>45996</v>
      </c>
      <c r="BT547" s="4">
        <v>0.4236111111111111</v>
      </c>
      <c r="BU547" t="s">
        <v>1279</v>
      </c>
      <c r="BV547" t="s">
        <v>84</v>
      </c>
      <c r="BY547">
        <v>1200</v>
      </c>
      <c r="CA547" t="s">
        <v>1228</v>
      </c>
      <c r="CC547" t="s">
        <v>142</v>
      </c>
      <c r="CD547">
        <v>6001</v>
      </c>
      <c r="CE547" t="s">
        <v>134</v>
      </c>
      <c r="CF547" s="3">
        <v>45996</v>
      </c>
      <c r="CI547">
        <v>1</v>
      </c>
      <c r="CJ547">
        <v>1</v>
      </c>
      <c r="CK547">
        <v>21</v>
      </c>
      <c r="CL547" t="s">
        <v>87</v>
      </c>
    </row>
    <row r="548" spans="1:90" x14ac:dyDescent="0.3">
      <c r="A548" t="s">
        <v>72</v>
      </c>
      <c r="B548" t="s">
        <v>73</v>
      </c>
      <c r="C548" t="s">
        <v>74</v>
      </c>
      <c r="E548" t="str">
        <f>"080069674317"</f>
        <v>080069674317</v>
      </c>
      <c r="F548" s="3">
        <v>45995</v>
      </c>
      <c r="G548">
        <v>202609</v>
      </c>
      <c r="H548" t="s">
        <v>75</v>
      </c>
      <c r="I548" t="s">
        <v>76</v>
      </c>
      <c r="J548" t="s">
        <v>77</v>
      </c>
      <c r="K548" t="s">
        <v>78</v>
      </c>
      <c r="L548" t="s">
        <v>120</v>
      </c>
      <c r="M548" t="s">
        <v>121</v>
      </c>
      <c r="N548" t="s">
        <v>163</v>
      </c>
      <c r="O548" t="s">
        <v>89</v>
      </c>
      <c r="P548" t="str">
        <f>"4170071914                    "</f>
        <v xml:space="preserve">4170071914                    </v>
      </c>
      <c r="Q548">
        <v>0</v>
      </c>
      <c r="R548">
        <v>0</v>
      </c>
      <c r="S548">
        <v>0</v>
      </c>
      <c r="T548">
        <v>0</v>
      </c>
      <c r="U548">
        <v>0</v>
      </c>
      <c r="V548">
        <v>0</v>
      </c>
      <c r="W548">
        <v>0</v>
      </c>
      <c r="X548">
        <v>0</v>
      </c>
      <c r="Y548">
        <v>0</v>
      </c>
      <c r="Z548">
        <v>0</v>
      </c>
      <c r="AA548">
        <v>0</v>
      </c>
      <c r="AB548">
        <v>0</v>
      </c>
      <c r="AC548">
        <v>0</v>
      </c>
      <c r="AD548">
        <v>0</v>
      </c>
      <c r="AE548">
        <v>0</v>
      </c>
      <c r="AF548">
        <v>0</v>
      </c>
      <c r="AG548">
        <v>0</v>
      </c>
      <c r="AH548">
        <v>0</v>
      </c>
      <c r="AI548">
        <v>0</v>
      </c>
      <c r="AJ548">
        <v>0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25.52</v>
      </c>
      <c r="AR548">
        <v>0</v>
      </c>
      <c r="AS548">
        <v>0</v>
      </c>
      <c r="AT548">
        <v>0</v>
      </c>
      <c r="AU548">
        <v>0</v>
      </c>
      <c r="AV548">
        <v>0</v>
      </c>
      <c r="AW548">
        <v>0</v>
      </c>
      <c r="AX548">
        <v>0</v>
      </c>
      <c r="AY548">
        <v>0</v>
      </c>
      <c r="AZ548">
        <v>0</v>
      </c>
      <c r="BA548">
        <v>0</v>
      </c>
      <c r="BB548">
        <v>0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1</v>
      </c>
      <c r="BI548">
        <v>1</v>
      </c>
      <c r="BJ548">
        <v>0.2</v>
      </c>
      <c r="BK548">
        <v>1</v>
      </c>
      <c r="BL548">
        <v>76.06</v>
      </c>
      <c r="BM548">
        <v>11.41</v>
      </c>
      <c r="BN548">
        <v>87.47</v>
      </c>
      <c r="BO548">
        <v>87.47</v>
      </c>
      <c r="BQ548" t="s">
        <v>164</v>
      </c>
      <c r="BR548" t="s">
        <v>82</v>
      </c>
      <c r="BS548" s="3">
        <v>45996</v>
      </c>
      <c r="BT548" s="4">
        <v>0.39861111111111114</v>
      </c>
      <c r="BU548" t="s">
        <v>165</v>
      </c>
      <c r="BV548" t="s">
        <v>84</v>
      </c>
      <c r="BY548">
        <v>1200</v>
      </c>
      <c r="CA548" t="s">
        <v>126</v>
      </c>
      <c r="CC548" t="s">
        <v>121</v>
      </c>
      <c r="CD548">
        <v>6230</v>
      </c>
      <c r="CE548" t="s">
        <v>134</v>
      </c>
      <c r="CF548" s="3">
        <v>45996</v>
      </c>
      <c r="CI548">
        <v>1</v>
      </c>
      <c r="CJ548">
        <v>1</v>
      </c>
      <c r="CK548">
        <v>21</v>
      </c>
      <c r="CL548" t="s">
        <v>87</v>
      </c>
    </row>
    <row r="549" spans="1:90" x14ac:dyDescent="0.3">
      <c r="A549" t="s">
        <v>72</v>
      </c>
      <c r="B549" t="s">
        <v>73</v>
      </c>
      <c r="C549" t="s">
        <v>74</v>
      </c>
      <c r="E549" t="str">
        <f>"080069674380"</f>
        <v>080069674380</v>
      </c>
      <c r="F549" s="3">
        <v>45995</v>
      </c>
      <c r="G549">
        <v>202609</v>
      </c>
      <c r="H549" t="s">
        <v>75</v>
      </c>
      <c r="I549" t="s">
        <v>76</v>
      </c>
      <c r="J549" t="s">
        <v>77</v>
      </c>
      <c r="K549" t="s">
        <v>78</v>
      </c>
      <c r="L549" t="s">
        <v>374</v>
      </c>
      <c r="M549" t="s">
        <v>375</v>
      </c>
      <c r="N549" t="s">
        <v>376</v>
      </c>
      <c r="O549" t="s">
        <v>89</v>
      </c>
      <c r="P549" t="str">
        <f>"4170071759                    "</f>
        <v xml:space="preserve">4170071759                    </v>
      </c>
      <c r="Q549">
        <v>0</v>
      </c>
      <c r="R549">
        <v>0</v>
      </c>
      <c r="S549">
        <v>0</v>
      </c>
      <c r="T549">
        <v>0</v>
      </c>
      <c r="U549">
        <v>0</v>
      </c>
      <c r="V549">
        <v>0</v>
      </c>
      <c r="W549">
        <v>0</v>
      </c>
      <c r="X549">
        <v>0</v>
      </c>
      <c r="Y549">
        <v>0</v>
      </c>
      <c r="Z549">
        <v>0</v>
      </c>
      <c r="AA549">
        <v>0</v>
      </c>
      <c r="AB549">
        <v>0</v>
      </c>
      <c r="AC549">
        <v>0</v>
      </c>
      <c r="AD549">
        <v>0</v>
      </c>
      <c r="AE549">
        <v>0</v>
      </c>
      <c r="AF549">
        <v>0</v>
      </c>
      <c r="AG549">
        <v>0</v>
      </c>
      <c r="AH549">
        <v>0</v>
      </c>
      <c r="AI549">
        <v>0</v>
      </c>
      <c r="AJ549">
        <v>0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25.52</v>
      </c>
      <c r="AR549">
        <v>0</v>
      </c>
      <c r="AS549">
        <v>0</v>
      </c>
      <c r="AT549">
        <v>0</v>
      </c>
      <c r="AU549">
        <v>0</v>
      </c>
      <c r="AV549">
        <v>0</v>
      </c>
      <c r="AW549">
        <v>0</v>
      </c>
      <c r="AX549">
        <v>0</v>
      </c>
      <c r="AY549">
        <v>0</v>
      </c>
      <c r="AZ549">
        <v>0</v>
      </c>
      <c r="BA549">
        <v>0</v>
      </c>
      <c r="BB549">
        <v>0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1</v>
      </c>
      <c r="BI549">
        <v>1</v>
      </c>
      <c r="BJ549">
        <v>0.2</v>
      </c>
      <c r="BK549">
        <v>1</v>
      </c>
      <c r="BL549">
        <v>76.06</v>
      </c>
      <c r="BM549">
        <v>11.41</v>
      </c>
      <c r="BN549">
        <v>87.47</v>
      </c>
      <c r="BO549">
        <v>87.47</v>
      </c>
      <c r="BQ549" t="s">
        <v>377</v>
      </c>
      <c r="BR549" t="s">
        <v>82</v>
      </c>
      <c r="BS549" s="3">
        <v>45996</v>
      </c>
      <c r="BT549" s="4">
        <v>0.41666666666666669</v>
      </c>
      <c r="BU549" t="s">
        <v>1280</v>
      </c>
      <c r="BV549" t="s">
        <v>84</v>
      </c>
      <c r="BY549">
        <v>1200</v>
      </c>
      <c r="CC549" t="s">
        <v>375</v>
      </c>
      <c r="CD549">
        <v>7600</v>
      </c>
      <c r="CE549" t="s">
        <v>134</v>
      </c>
      <c r="CF549" s="3">
        <v>45999</v>
      </c>
      <c r="CI549">
        <v>1</v>
      </c>
      <c r="CJ549">
        <v>1</v>
      </c>
      <c r="CK549">
        <v>21</v>
      </c>
      <c r="CL549" t="s">
        <v>87</v>
      </c>
    </row>
    <row r="550" spans="1:90" x14ac:dyDescent="0.3">
      <c r="A550" t="s">
        <v>72</v>
      </c>
      <c r="B550" t="s">
        <v>73</v>
      </c>
      <c r="C550" t="s">
        <v>74</v>
      </c>
      <c r="E550" t="str">
        <f>"080069674444"</f>
        <v>080069674444</v>
      </c>
      <c r="F550" s="3">
        <v>45995</v>
      </c>
      <c r="G550">
        <v>202609</v>
      </c>
      <c r="H550" t="s">
        <v>75</v>
      </c>
      <c r="I550" t="s">
        <v>76</v>
      </c>
      <c r="J550" t="s">
        <v>77</v>
      </c>
      <c r="K550" t="s">
        <v>78</v>
      </c>
      <c r="L550" t="s">
        <v>100</v>
      </c>
      <c r="M550" t="s">
        <v>101</v>
      </c>
      <c r="N550" t="s">
        <v>102</v>
      </c>
      <c r="O550" t="s">
        <v>89</v>
      </c>
      <c r="P550" t="str">
        <f>"4170071916                    "</f>
        <v xml:space="preserve">4170071916                    </v>
      </c>
      <c r="Q550">
        <v>0</v>
      </c>
      <c r="R550">
        <v>0</v>
      </c>
      <c r="S550">
        <v>0</v>
      </c>
      <c r="T550">
        <v>0</v>
      </c>
      <c r="U550">
        <v>0</v>
      </c>
      <c r="V550">
        <v>0</v>
      </c>
      <c r="W550">
        <v>0</v>
      </c>
      <c r="X550">
        <v>0</v>
      </c>
      <c r="Y550">
        <v>0</v>
      </c>
      <c r="Z550">
        <v>0</v>
      </c>
      <c r="AA550">
        <v>0</v>
      </c>
      <c r="AB550">
        <v>0</v>
      </c>
      <c r="AC550">
        <v>0</v>
      </c>
      <c r="AD550">
        <v>0</v>
      </c>
      <c r="AE550">
        <v>0</v>
      </c>
      <c r="AF550">
        <v>0</v>
      </c>
      <c r="AG550">
        <v>0</v>
      </c>
      <c r="AH550">
        <v>0</v>
      </c>
      <c r="AI550">
        <v>0</v>
      </c>
      <c r="AJ550">
        <v>0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25.52</v>
      </c>
      <c r="AR550">
        <v>0</v>
      </c>
      <c r="AS550">
        <v>0</v>
      </c>
      <c r="AT550">
        <v>0</v>
      </c>
      <c r="AU550">
        <v>0</v>
      </c>
      <c r="AV550">
        <v>0</v>
      </c>
      <c r="AW550">
        <v>0</v>
      </c>
      <c r="AX550">
        <v>0</v>
      </c>
      <c r="AY550">
        <v>0</v>
      </c>
      <c r="AZ550">
        <v>0</v>
      </c>
      <c r="BA550">
        <v>0</v>
      </c>
      <c r="BB550">
        <v>0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1</v>
      </c>
      <c r="BI550">
        <v>1</v>
      </c>
      <c r="BJ550">
        <v>0.2</v>
      </c>
      <c r="BK550">
        <v>1</v>
      </c>
      <c r="BL550">
        <v>76.06</v>
      </c>
      <c r="BM550">
        <v>11.41</v>
      </c>
      <c r="BN550">
        <v>87.47</v>
      </c>
      <c r="BO550">
        <v>87.47</v>
      </c>
      <c r="BQ550" t="s">
        <v>103</v>
      </c>
      <c r="BR550" t="s">
        <v>82</v>
      </c>
      <c r="BS550" s="3">
        <v>45996</v>
      </c>
      <c r="BT550" s="4">
        <v>0.35347222222222224</v>
      </c>
      <c r="BU550" t="s">
        <v>1211</v>
      </c>
      <c r="BV550" t="s">
        <v>84</v>
      </c>
      <c r="BY550">
        <v>1200</v>
      </c>
      <c r="CA550" t="s">
        <v>107</v>
      </c>
      <c r="CC550" t="s">
        <v>101</v>
      </c>
      <c r="CD550">
        <v>4000</v>
      </c>
      <c r="CE550" t="s">
        <v>134</v>
      </c>
      <c r="CF550" s="3">
        <v>45996</v>
      </c>
      <c r="CI550">
        <v>1</v>
      </c>
      <c r="CJ550">
        <v>1</v>
      </c>
      <c r="CK550">
        <v>21</v>
      </c>
      <c r="CL550" t="s">
        <v>87</v>
      </c>
    </row>
    <row r="551" spans="1:90" x14ac:dyDescent="0.3">
      <c r="A551" t="s">
        <v>72</v>
      </c>
      <c r="B551" t="s">
        <v>73</v>
      </c>
      <c r="C551" t="s">
        <v>74</v>
      </c>
      <c r="E551" t="str">
        <f>"080069674505"</f>
        <v>080069674505</v>
      </c>
      <c r="F551" s="3">
        <v>45995</v>
      </c>
      <c r="G551">
        <v>202609</v>
      </c>
      <c r="H551" t="s">
        <v>75</v>
      </c>
      <c r="I551" t="s">
        <v>76</v>
      </c>
      <c r="J551" t="s">
        <v>77</v>
      </c>
      <c r="K551" t="s">
        <v>78</v>
      </c>
      <c r="L551" t="s">
        <v>272</v>
      </c>
      <c r="M551" t="s">
        <v>273</v>
      </c>
      <c r="N551" t="s">
        <v>274</v>
      </c>
      <c r="O551" t="s">
        <v>89</v>
      </c>
      <c r="P551" t="str">
        <f>"4170071836                    "</f>
        <v xml:space="preserve">4170071836                    </v>
      </c>
      <c r="Q551">
        <v>0</v>
      </c>
      <c r="R551">
        <v>0</v>
      </c>
      <c r="S551">
        <v>0</v>
      </c>
      <c r="T551">
        <v>0</v>
      </c>
      <c r="U551">
        <v>0</v>
      </c>
      <c r="V551">
        <v>0</v>
      </c>
      <c r="W551">
        <v>0</v>
      </c>
      <c r="X551">
        <v>0</v>
      </c>
      <c r="Y551">
        <v>0</v>
      </c>
      <c r="Z551">
        <v>0</v>
      </c>
      <c r="AA551">
        <v>0</v>
      </c>
      <c r="AB551">
        <v>0</v>
      </c>
      <c r="AC551">
        <v>0</v>
      </c>
      <c r="AD551">
        <v>0</v>
      </c>
      <c r="AE551">
        <v>0</v>
      </c>
      <c r="AF551">
        <v>0</v>
      </c>
      <c r="AG551">
        <v>0</v>
      </c>
      <c r="AH551">
        <v>0</v>
      </c>
      <c r="AI551">
        <v>0</v>
      </c>
      <c r="AJ551">
        <v>0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25.52</v>
      </c>
      <c r="AR551">
        <v>0</v>
      </c>
      <c r="AS551">
        <v>0</v>
      </c>
      <c r="AT551">
        <v>0</v>
      </c>
      <c r="AU551">
        <v>0</v>
      </c>
      <c r="AV551">
        <v>0</v>
      </c>
      <c r="AW551">
        <v>0</v>
      </c>
      <c r="AX551">
        <v>0</v>
      </c>
      <c r="AY551">
        <v>0</v>
      </c>
      <c r="AZ551">
        <v>0</v>
      </c>
      <c r="BA551">
        <v>0</v>
      </c>
      <c r="BB551">
        <v>0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1</v>
      </c>
      <c r="BI551">
        <v>1</v>
      </c>
      <c r="BJ551">
        <v>0.2</v>
      </c>
      <c r="BK551">
        <v>1</v>
      </c>
      <c r="BL551">
        <v>76.06</v>
      </c>
      <c r="BM551">
        <v>11.41</v>
      </c>
      <c r="BN551">
        <v>87.47</v>
      </c>
      <c r="BO551">
        <v>87.47</v>
      </c>
      <c r="BQ551" t="s">
        <v>275</v>
      </c>
      <c r="BR551" t="s">
        <v>82</v>
      </c>
      <c r="BS551" s="3">
        <v>45996</v>
      </c>
      <c r="BT551" s="4">
        <v>0.43611111111111112</v>
      </c>
      <c r="BU551" t="s">
        <v>276</v>
      </c>
      <c r="BV551" t="s">
        <v>84</v>
      </c>
      <c r="BY551">
        <v>1200</v>
      </c>
      <c r="CA551" t="s">
        <v>277</v>
      </c>
      <c r="CC551" t="s">
        <v>273</v>
      </c>
      <c r="CD551">
        <v>6220</v>
      </c>
      <c r="CE551" t="s">
        <v>134</v>
      </c>
      <c r="CF551" s="3">
        <v>45996</v>
      </c>
      <c r="CI551">
        <v>1</v>
      </c>
      <c r="CJ551">
        <v>1</v>
      </c>
      <c r="CK551">
        <v>21</v>
      </c>
      <c r="CL551" t="s">
        <v>87</v>
      </c>
    </row>
    <row r="552" spans="1:90" x14ac:dyDescent="0.3">
      <c r="A552" t="s">
        <v>72</v>
      </c>
      <c r="B552" t="s">
        <v>73</v>
      </c>
      <c r="C552" t="s">
        <v>74</v>
      </c>
      <c r="E552" t="str">
        <f>"080069674551"</f>
        <v>080069674551</v>
      </c>
      <c r="F552" s="3">
        <v>45995</v>
      </c>
      <c r="G552">
        <v>202609</v>
      </c>
      <c r="H552" t="s">
        <v>75</v>
      </c>
      <c r="I552" t="s">
        <v>76</v>
      </c>
      <c r="J552" t="s">
        <v>77</v>
      </c>
      <c r="K552" t="s">
        <v>78</v>
      </c>
      <c r="L552" t="s">
        <v>465</v>
      </c>
      <c r="M552" t="s">
        <v>466</v>
      </c>
      <c r="N552" t="s">
        <v>738</v>
      </c>
      <c r="O552" t="s">
        <v>89</v>
      </c>
      <c r="P552" t="str">
        <f>"4170071889                    "</f>
        <v xml:space="preserve">4170071889                    </v>
      </c>
      <c r="Q552">
        <v>0</v>
      </c>
      <c r="R552">
        <v>0</v>
      </c>
      <c r="S552">
        <v>0</v>
      </c>
      <c r="T552">
        <v>0</v>
      </c>
      <c r="U552">
        <v>0</v>
      </c>
      <c r="V552">
        <v>0</v>
      </c>
      <c r="W552">
        <v>0</v>
      </c>
      <c r="X552">
        <v>0</v>
      </c>
      <c r="Y552">
        <v>0</v>
      </c>
      <c r="Z552">
        <v>0</v>
      </c>
      <c r="AA552">
        <v>0</v>
      </c>
      <c r="AB552">
        <v>0</v>
      </c>
      <c r="AC552">
        <v>0</v>
      </c>
      <c r="AD552">
        <v>0</v>
      </c>
      <c r="AE552">
        <v>0</v>
      </c>
      <c r="AF552">
        <v>0</v>
      </c>
      <c r="AG552">
        <v>0</v>
      </c>
      <c r="AH552">
        <v>0</v>
      </c>
      <c r="AI552">
        <v>0</v>
      </c>
      <c r="AJ552">
        <v>0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19.940000000000001</v>
      </c>
      <c r="AR552">
        <v>0</v>
      </c>
      <c r="AS552">
        <v>0</v>
      </c>
      <c r="AT552">
        <v>0</v>
      </c>
      <c r="AU552">
        <v>0</v>
      </c>
      <c r="AV552">
        <v>0</v>
      </c>
      <c r="AW552">
        <v>0</v>
      </c>
      <c r="AX552">
        <v>0</v>
      </c>
      <c r="AY552">
        <v>0</v>
      </c>
      <c r="AZ552">
        <v>0</v>
      </c>
      <c r="BA552">
        <v>0</v>
      </c>
      <c r="BB552">
        <v>0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1</v>
      </c>
      <c r="BI552">
        <v>0.2</v>
      </c>
      <c r="BJ552">
        <v>1.4</v>
      </c>
      <c r="BK552">
        <v>2</v>
      </c>
      <c r="BL552">
        <v>59.42</v>
      </c>
      <c r="BM552">
        <v>8.91</v>
      </c>
      <c r="BN552">
        <v>68.33</v>
      </c>
      <c r="BO552">
        <v>68.33</v>
      </c>
      <c r="BQ552" t="s">
        <v>739</v>
      </c>
      <c r="BR552" t="s">
        <v>82</v>
      </c>
      <c r="BS552" s="3">
        <v>45996</v>
      </c>
      <c r="BT552" s="4">
        <v>0.3611111111111111</v>
      </c>
      <c r="BU552" t="s">
        <v>1013</v>
      </c>
      <c r="BV552" t="s">
        <v>84</v>
      </c>
      <c r="BY552">
        <v>6980.96</v>
      </c>
      <c r="CA552" t="s">
        <v>727</v>
      </c>
      <c r="CC552" t="s">
        <v>466</v>
      </c>
      <c r="CD552">
        <v>1428</v>
      </c>
      <c r="CE552" t="s">
        <v>134</v>
      </c>
      <c r="CF552" s="3">
        <v>45997</v>
      </c>
      <c r="CI552">
        <v>1</v>
      </c>
      <c r="CJ552">
        <v>1</v>
      </c>
      <c r="CK552">
        <v>22</v>
      </c>
      <c r="CL552" t="s">
        <v>87</v>
      </c>
    </row>
    <row r="553" spans="1:90" x14ac:dyDescent="0.3">
      <c r="A553" t="s">
        <v>72</v>
      </c>
      <c r="B553" t="s">
        <v>73</v>
      </c>
      <c r="C553" t="s">
        <v>74</v>
      </c>
      <c r="E553" t="str">
        <f>"080069674596"</f>
        <v>080069674596</v>
      </c>
      <c r="F553" s="3">
        <v>45995</v>
      </c>
      <c r="G553">
        <v>202609</v>
      </c>
      <c r="H553" t="s">
        <v>75</v>
      </c>
      <c r="I553" t="s">
        <v>76</v>
      </c>
      <c r="J553" t="s">
        <v>77</v>
      </c>
      <c r="K553" t="s">
        <v>78</v>
      </c>
      <c r="L553" t="s">
        <v>75</v>
      </c>
      <c r="M553" t="s">
        <v>76</v>
      </c>
      <c r="N553" t="s">
        <v>79</v>
      </c>
      <c r="O553" t="s">
        <v>89</v>
      </c>
      <c r="P553" t="str">
        <f>"4170071922                    "</f>
        <v xml:space="preserve">4170071922                    </v>
      </c>
      <c r="Q553">
        <v>0</v>
      </c>
      <c r="R553">
        <v>0</v>
      </c>
      <c r="S553">
        <v>0</v>
      </c>
      <c r="T553">
        <v>0</v>
      </c>
      <c r="U553">
        <v>0</v>
      </c>
      <c r="V553">
        <v>0</v>
      </c>
      <c r="W553">
        <v>0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0</v>
      </c>
      <c r="AD553">
        <v>0</v>
      </c>
      <c r="AE553">
        <v>0</v>
      </c>
      <c r="AF553">
        <v>0</v>
      </c>
      <c r="AG553">
        <v>0</v>
      </c>
      <c r="AH553">
        <v>0</v>
      </c>
      <c r="AI553">
        <v>0</v>
      </c>
      <c r="AJ553">
        <v>0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19.940000000000001</v>
      </c>
      <c r="AR553">
        <v>0</v>
      </c>
      <c r="AS553">
        <v>0</v>
      </c>
      <c r="AT553">
        <v>0</v>
      </c>
      <c r="AU553">
        <v>0</v>
      </c>
      <c r="AV553">
        <v>0</v>
      </c>
      <c r="AW553">
        <v>0</v>
      </c>
      <c r="AX553">
        <v>0</v>
      </c>
      <c r="AY553">
        <v>0</v>
      </c>
      <c r="AZ553">
        <v>0</v>
      </c>
      <c r="BA553">
        <v>0</v>
      </c>
      <c r="BB553">
        <v>0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1</v>
      </c>
      <c r="BI553">
        <v>1.2</v>
      </c>
      <c r="BJ553">
        <v>1.4</v>
      </c>
      <c r="BK553">
        <v>2</v>
      </c>
      <c r="BL553">
        <v>59.42</v>
      </c>
      <c r="BM553">
        <v>8.91</v>
      </c>
      <c r="BN553">
        <v>68.33</v>
      </c>
      <c r="BO553">
        <v>68.33</v>
      </c>
      <c r="BQ553" t="s">
        <v>81</v>
      </c>
      <c r="BR553" t="s">
        <v>82</v>
      </c>
      <c r="BS553" s="3">
        <v>45996</v>
      </c>
      <c r="BT553" s="4">
        <v>0.34722222222222221</v>
      </c>
      <c r="BU553" t="s">
        <v>83</v>
      </c>
      <c r="BV553" t="s">
        <v>84</v>
      </c>
      <c r="BY553">
        <v>7199.15</v>
      </c>
      <c r="CA553" t="s">
        <v>85</v>
      </c>
      <c r="CC553" t="s">
        <v>76</v>
      </c>
      <c r="CD553">
        <v>1619</v>
      </c>
      <c r="CE553" t="s">
        <v>134</v>
      </c>
      <c r="CF553" s="3">
        <v>45997</v>
      </c>
      <c r="CI553">
        <v>1</v>
      </c>
      <c r="CJ553">
        <v>1</v>
      </c>
      <c r="CK553">
        <v>22</v>
      </c>
      <c r="CL553" t="s">
        <v>87</v>
      </c>
    </row>
    <row r="554" spans="1:90" x14ac:dyDescent="0.3">
      <c r="A554" t="s">
        <v>72</v>
      </c>
      <c r="B554" t="s">
        <v>73</v>
      </c>
      <c r="C554" t="s">
        <v>74</v>
      </c>
      <c r="E554" t="str">
        <f>"080069674632"</f>
        <v>080069674632</v>
      </c>
      <c r="F554" s="3">
        <v>45995</v>
      </c>
      <c r="G554">
        <v>202609</v>
      </c>
      <c r="H554" t="s">
        <v>75</v>
      </c>
      <c r="I554" t="s">
        <v>76</v>
      </c>
      <c r="J554" t="s">
        <v>77</v>
      </c>
      <c r="K554" t="s">
        <v>78</v>
      </c>
      <c r="L554" t="s">
        <v>528</v>
      </c>
      <c r="M554" t="s">
        <v>529</v>
      </c>
      <c r="N554" t="s">
        <v>1131</v>
      </c>
      <c r="O554" t="s">
        <v>89</v>
      </c>
      <c r="P554" t="str">
        <f>"4170071818                    "</f>
        <v xml:space="preserve">4170071818                    </v>
      </c>
      <c r="Q554">
        <v>0</v>
      </c>
      <c r="R554">
        <v>0</v>
      </c>
      <c r="S554">
        <v>0</v>
      </c>
      <c r="T554">
        <v>0</v>
      </c>
      <c r="U554">
        <v>0</v>
      </c>
      <c r="V554">
        <v>0</v>
      </c>
      <c r="W554">
        <v>0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0</v>
      </c>
      <c r="AJ554">
        <v>0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49.45</v>
      </c>
      <c r="AR554">
        <v>0</v>
      </c>
      <c r="AS554">
        <v>0</v>
      </c>
      <c r="AT554">
        <v>0</v>
      </c>
      <c r="AU554">
        <v>0</v>
      </c>
      <c r="AV554">
        <v>0</v>
      </c>
      <c r="AW554">
        <v>17.41</v>
      </c>
      <c r="AX554">
        <v>0</v>
      </c>
      <c r="AY554">
        <v>0</v>
      </c>
      <c r="AZ554">
        <v>0</v>
      </c>
      <c r="BA554">
        <v>0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1</v>
      </c>
      <c r="BI554">
        <v>0.6</v>
      </c>
      <c r="BJ554">
        <v>0.8</v>
      </c>
      <c r="BK554">
        <v>1</v>
      </c>
      <c r="BL554">
        <v>164.79</v>
      </c>
      <c r="BM554">
        <v>24.72</v>
      </c>
      <c r="BN554">
        <v>189.51</v>
      </c>
      <c r="BO554">
        <v>189.51</v>
      </c>
      <c r="BQ554" t="s">
        <v>1132</v>
      </c>
      <c r="BR554" t="s">
        <v>82</v>
      </c>
      <c r="BS554" s="3">
        <v>45996</v>
      </c>
      <c r="BT554" s="4">
        <v>0.51388888888888884</v>
      </c>
      <c r="BU554" t="s">
        <v>1281</v>
      </c>
      <c r="BV554" t="s">
        <v>84</v>
      </c>
      <c r="BY554">
        <v>3845.97</v>
      </c>
      <c r="BZ554" t="s">
        <v>30</v>
      </c>
      <c r="CC554" t="s">
        <v>529</v>
      </c>
      <c r="CD554" s="5" t="s">
        <v>1134</v>
      </c>
      <c r="CE554" t="s">
        <v>134</v>
      </c>
      <c r="CF554" s="3">
        <v>45999</v>
      </c>
      <c r="CI554">
        <v>1</v>
      </c>
      <c r="CJ554">
        <v>1</v>
      </c>
      <c r="CK554">
        <v>23</v>
      </c>
      <c r="CL554" t="s">
        <v>87</v>
      </c>
    </row>
    <row r="555" spans="1:90" x14ac:dyDescent="0.3">
      <c r="A555" t="s">
        <v>72</v>
      </c>
      <c r="B555" t="s">
        <v>73</v>
      </c>
      <c r="C555" t="s">
        <v>74</v>
      </c>
      <c r="E555" t="str">
        <f>"080069674685"</f>
        <v>080069674685</v>
      </c>
      <c r="F555" s="3">
        <v>45995</v>
      </c>
      <c r="G555">
        <v>202609</v>
      </c>
      <c r="H555" t="s">
        <v>75</v>
      </c>
      <c r="I555" t="s">
        <v>76</v>
      </c>
      <c r="J555" t="s">
        <v>77</v>
      </c>
      <c r="K555" t="s">
        <v>78</v>
      </c>
      <c r="L555" t="s">
        <v>265</v>
      </c>
      <c r="M555" t="s">
        <v>266</v>
      </c>
      <c r="N555" t="s">
        <v>1282</v>
      </c>
      <c r="O555" t="s">
        <v>89</v>
      </c>
      <c r="P555" t="str">
        <f>"4170071875                    "</f>
        <v xml:space="preserve">4170071875                    </v>
      </c>
      <c r="Q555">
        <v>0</v>
      </c>
      <c r="R555">
        <v>0</v>
      </c>
      <c r="S555">
        <v>0</v>
      </c>
      <c r="T555">
        <v>0</v>
      </c>
      <c r="U555">
        <v>0</v>
      </c>
      <c r="V555">
        <v>0</v>
      </c>
      <c r="W555">
        <v>0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0</v>
      </c>
      <c r="AD555">
        <v>0</v>
      </c>
      <c r="AE555">
        <v>0</v>
      </c>
      <c r="AF555">
        <v>0</v>
      </c>
      <c r="AG555">
        <v>0</v>
      </c>
      <c r="AH555">
        <v>0</v>
      </c>
      <c r="AI555">
        <v>0</v>
      </c>
      <c r="AJ555">
        <v>0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19.940000000000001</v>
      </c>
      <c r="AR555">
        <v>0</v>
      </c>
      <c r="AS555">
        <v>0</v>
      </c>
      <c r="AT555">
        <v>0</v>
      </c>
      <c r="AU555">
        <v>0</v>
      </c>
      <c r="AV555">
        <v>0</v>
      </c>
      <c r="AW555">
        <v>0</v>
      </c>
      <c r="AX555">
        <v>0</v>
      </c>
      <c r="AY555">
        <v>0</v>
      </c>
      <c r="AZ555">
        <v>0</v>
      </c>
      <c r="BA555">
        <v>0</v>
      </c>
      <c r="BB555">
        <v>0</v>
      </c>
      <c r="BC555">
        <v>0</v>
      </c>
      <c r="BD555">
        <v>0</v>
      </c>
      <c r="BE555">
        <v>0</v>
      </c>
      <c r="BF555">
        <v>0</v>
      </c>
      <c r="BG555">
        <v>0</v>
      </c>
      <c r="BH555">
        <v>1</v>
      </c>
      <c r="BI555">
        <v>1.3</v>
      </c>
      <c r="BJ555">
        <v>1.5</v>
      </c>
      <c r="BK555">
        <v>2</v>
      </c>
      <c r="BL555">
        <v>59.42</v>
      </c>
      <c r="BM555">
        <v>8.91</v>
      </c>
      <c r="BN555">
        <v>68.33</v>
      </c>
      <c r="BO555">
        <v>68.33</v>
      </c>
      <c r="BQ555" t="s">
        <v>1283</v>
      </c>
      <c r="BR555" t="s">
        <v>82</v>
      </c>
      <c r="BS555" s="3">
        <v>45996</v>
      </c>
      <c r="BT555" s="4">
        <v>0.34375</v>
      </c>
      <c r="BU555" t="s">
        <v>1284</v>
      </c>
      <c r="BV555" t="s">
        <v>84</v>
      </c>
      <c r="BY555">
        <v>7309.89</v>
      </c>
      <c r="CA555" t="s">
        <v>319</v>
      </c>
      <c r="CC555" t="s">
        <v>266</v>
      </c>
      <c r="CD555">
        <v>1459</v>
      </c>
      <c r="CE555" t="s">
        <v>134</v>
      </c>
      <c r="CF555" s="3">
        <v>45996</v>
      </c>
      <c r="CI555">
        <v>1</v>
      </c>
      <c r="CJ555">
        <v>1</v>
      </c>
      <c r="CK555">
        <v>22</v>
      </c>
      <c r="CL555" t="s">
        <v>87</v>
      </c>
    </row>
    <row r="556" spans="1:90" x14ac:dyDescent="0.3">
      <c r="A556" t="s">
        <v>72</v>
      </c>
      <c r="B556" t="s">
        <v>73</v>
      </c>
      <c r="C556" t="s">
        <v>74</v>
      </c>
      <c r="E556" t="str">
        <f>"080069674716"</f>
        <v>080069674716</v>
      </c>
      <c r="F556" s="3">
        <v>45995</v>
      </c>
      <c r="G556">
        <v>202609</v>
      </c>
      <c r="H556" t="s">
        <v>75</v>
      </c>
      <c r="I556" t="s">
        <v>76</v>
      </c>
      <c r="J556" t="s">
        <v>77</v>
      </c>
      <c r="K556" t="s">
        <v>78</v>
      </c>
      <c r="L556" t="s">
        <v>156</v>
      </c>
      <c r="M556" t="s">
        <v>157</v>
      </c>
      <c r="N556" t="s">
        <v>508</v>
      </c>
      <c r="O556" t="s">
        <v>89</v>
      </c>
      <c r="P556" t="str">
        <f>"4170071829                    "</f>
        <v xml:space="preserve">4170071829                    </v>
      </c>
      <c r="Q556">
        <v>0</v>
      </c>
      <c r="R556">
        <v>0</v>
      </c>
      <c r="S556">
        <v>0</v>
      </c>
      <c r="T556">
        <v>0</v>
      </c>
      <c r="U556">
        <v>0</v>
      </c>
      <c r="V556">
        <v>0</v>
      </c>
      <c r="W556">
        <v>0</v>
      </c>
      <c r="X556">
        <v>0</v>
      </c>
      <c r="Y556">
        <v>0</v>
      </c>
      <c r="Z556">
        <v>0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0</v>
      </c>
      <c r="AJ556">
        <v>0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25.52</v>
      </c>
      <c r="AR556">
        <v>0</v>
      </c>
      <c r="AS556">
        <v>0</v>
      </c>
      <c r="AT556">
        <v>0</v>
      </c>
      <c r="AU556">
        <v>0</v>
      </c>
      <c r="AV556">
        <v>0</v>
      </c>
      <c r="AW556">
        <v>0</v>
      </c>
      <c r="AX556">
        <v>0</v>
      </c>
      <c r="AY556">
        <v>0</v>
      </c>
      <c r="AZ556">
        <v>0</v>
      </c>
      <c r="BA556">
        <v>0</v>
      </c>
      <c r="BB556">
        <v>0</v>
      </c>
      <c r="BC556">
        <v>0</v>
      </c>
      <c r="BD556">
        <v>0</v>
      </c>
      <c r="BE556">
        <v>0</v>
      </c>
      <c r="BF556">
        <v>0</v>
      </c>
      <c r="BG556">
        <v>0</v>
      </c>
      <c r="BH556">
        <v>1</v>
      </c>
      <c r="BI556">
        <v>1</v>
      </c>
      <c r="BJ556">
        <v>0.2</v>
      </c>
      <c r="BK556">
        <v>1</v>
      </c>
      <c r="BL556">
        <v>76.06</v>
      </c>
      <c r="BM556">
        <v>11.41</v>
      </c>
      <c r="BN556">
        <v>87.47</v>
      </c>
      <c r="BO556">
        <v>87.47</v>
      </c>
      <c r="BQ556" t="s">
        <v>509</v>
      </c>
      <c r="BR556" t="s">
        <v>82</v>
      </c>
      <c r="BS556" s="3">
        <v>45996</v>
      </c>
      <c r="BT556" s="4">
        <v>0.48194444444444445</v>
      </c>
      <c r="BU556" t="s">
        <v>1285</v>
      </c>
      <c r="BV556" t="s">
        <v>87</v>
      </c>
      <c r="BW556" t="s">
        <v>153</v>
      </c>
      <c r="BX556" t="s">
        <v>996</v>
      </c>
      <c r="BY556">
        <v>1200</v>
      </c>
      <c r="CA556" t="s">
        <v>1217</v>
      </c>
      <c r="CC556" t="s">
        <v>157</v>
      </c>
      <c r="CD556">
        <v>7530</v>
      </c>
      <c r="CE556" t="s">
        <v>134</v>
      </c>
      <c r="CF556" s="3">
        <v>45999</v>
      </c>
      <c r="CI556">
        <v>1</v>
      </c>
      <c r="CJ556">
        <v>1</v>
      </c>
      <c r="CK556">
        <v>21</v>
      </c>
      <c r="CL556" t="s">
        <v>87</v>
      </c>
    </row>
    <row r="557" spans="1:90" x14ac:dyDescent="0.3">
      <c r="A557" t="s">
        <v>72</v>
      </c>
      <c r="B557" t="s">
        <v>73</v>
      </c>
      <c r="C557" t="s">
        <v>74</v>
      </c>
      <c r="E557" t="str">
        <f>"080069674757"</f>
        <v>080069674757</v>
      </c>
      <c r="F557" s="3">
        <v>45995</v>
      </c>
      <c r="G557">
        <v>202609</v>
      </c>
      <c r="H557" t="s">
        <v>75</v>
      </c>
      <c r="I557" t="s">
        <v>76</v>
      </c>
      <c r="J557" t="s">
        <v>77</v>
      </c>
      <c r="K557" t="s">
        <v>78</v>
      </c>
      <c r="L557" t="s">
        <v>141</v>
      </c>
      <c r="M557" t="s">
        <v>142</v>
      </c>
      <c r="N557" t="s">
        <v>688</v>
      </c>
      <c r="O557" t="s">
        <v>89</v>
      </c>
      <c r="P557" t="str">
        <f>"4170071881                    "</f>
        <v xml:space="preserve">4170071881                    </v>
      </c>
      <c r="Q557">
        <v>0</v>
      </c>
      <c r="R557">
        <v>0</v>
      </c>
      <c r="S557">
        <v>0</v>
      </c>
      <c r="T557">
        <v>0</v>
      </c>
      <c r="U557">
        <v>0</v>
      </c>
      <c r="V557">
        <v>0</v>
      </c>
      <c r="W557">
        <v>0</v>
      </c>
      <c r="X557">
        <v>0</v>
      </c>
      <c r="Y557">
        <v>0</v>
      </c>
      <c r="Z557">
        <v>0</v>
      </c>
      <c r="AA557">
        <v>0</v>
      </c>
      <c r="AB557">
        <v>0</v>
      </c>
      <c r="AC557">
        <v>0</v>
      </c>
      <c r="AD557">
        <v>0</v>
      </c>
      <c r="AE557">
        <v>0</v>
      </c>
      <c r="AF557">
        <v>0</v>
      </c>
      <c r="AG557">
        <v>0</v>
      </c>
      <c r="AH557">
        <v>0</v>
      </c>
      <c r="AI557">
        <v>0</v>
      </c>
      <c r="AJ557">
        <v>0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25.52</v>
      </c>
      <c r="AR557">
        <v>0</v>
      </c>
      <c r="AS557">
        <v>0</v>
      </c>
      <c r="AT557">
        <v>0</v>
      </c>
      <c r="AU557">
        <v>0</v>
      </c>
      <c r="AV557">
        <v>0</v>
      </c>
      <c r="AW557">
        <v>0</v>
      </c>
      <c r="AX557">
        <v>0</v>
      </c>
      <c r="AY557">
        <v>0</v>
      </c>
      <c r="AZ557">
        <v>0</v>
      </c>
      <c r="BA557">
        <v>0</v>
      </c>
      <c r="BB557">
        <v>0</v>
      </c>
      <c r="BC557">
        <v>0</v>
      </c>
      <c r="BD557">
        <v>0</v>
      </c>
      <c r="BE557">
        <v>0</v>
      </c>
      <c r="BF557">
        <v>0</v>
      </c>
      <c r="BG557">
        <v>0</v>
      </c>
      <c r="BH557">
        <v>1</v>
      </c>
      <c r="BI557">
        <v>1</v>
      </c>
      <c r="BJ557">
        <v>0.2</v>
      </c>
      <c r="BK557">
        <v>1</v>
      </c>
      <c r="BL557">
        <v>76.06</v>
      </c>
      <c r="BM557">
        <v>11.41</v>
      </c>
      <c r="BN557">
        <v>87.47</v>
      </c>
      <c r="BO557">
        <v>87.47</v>
      </c>
      <c r="BQ557" t="s">
        <v>689</v>
      </c>
      <c r="BR557" t="s">
        <v>82</v>
      </c>
      <c r="BS557" s="3">
        <v>45996</v>
      </c>
      <c r="BT557" s="4">
        <v>0.40486111111111112</v>
      </c>
      <c r="BU557" t="s">
        <v>1286</v>
      </c>
      <c r="BV557" t="s">
        <v>84</v>
      </c>
      <c r="BY557">
        <v>1200</v>
      </c>
      <c r="CA557" t="s">
        <v>1228</v>
      </c>
      <c r="CC557" t="s">
        <v>142</v>
      </c>
      <c r="CD557">
        <v>6000</v>
      </c>
      <c r="CE557" t="s">
        <v>134</v>
      </c>
      <c r="CF557" s="3">
        <v>45996</v>
      </c>
      <c r="CI557">
        <v>1</v>
      </c>
      <c r="CJ557">
        <v>1</v>
      </c>
      <c r="CK557">
        <v>21</v>
      </c>
      <c r="CL557" t="s">
        <v>87</v>
      </c>
    </row>
    <row r="558" spans="1:90" x14ac:dyDescent="0.3">
      <c r="A558" t="s">
        <v>72</v>
      </c>
      <c r="B558" t="s">
        <v>73</v>
      </c>
      <c r="C558" t="s">
        <v>74</v>
      </c>
      <c r="E558" t="str">
        <f>"080069674823"</f>
        <v>080069674823</v>
      </c>
      <c r="F558" s="3">
        <v>45995</v>
      </c>
      <c r="G558">
        <v>202609</v>
      </c>
      <c r="H558" t="s">
        <v>75</v>
      </c>
      <c r="I558" t="s">
        <v>76</v>
      </c>
      <c r="J558" t="s">
        <v>77</v>
      </c>
      <c r="K558" t="s">
        <v>78</v>
      </c>
      <c r="L558" t="s">
        <v>100</v>
      </c>
      <c r="M558" t="s">
        <v>101</v>
      </c>
      <c r="N558" t="s">
        <v>102</v>
      </c>
      <c r="O558" t="s">
        <v>89</v>
      </c>
      <c r="P558" t="str">
        <f>"4170071769                    "</f>
        <v xml:space="preserve">4170071769                    </v>
      </c>
      <c r="Q558">
        <v>0</v>
      </c>
      <c r="R558">
        <v>0</v>
      </c>
      <c r="S558">
        <v>0</v>
      </c>
      <c r="T558">
        <v>0</v>
      </c>
      <c r="U558">
        <v>0</v>
      </c>
      <c r="V558">
        <v>0</v>
      </c>
      <c r="W558">
        <v>0</v>
      </c>
      <c r="X558">
        <v>0</v>
      </c>
      <c r="Y558">
        <v>0</v>
      </c>
      <c r="Z558">
        <v>0</v>
      </c>
      <c r="AA558">
        <v>0</v>
      </c>
      <c r="AB558">
        <v>0</v>
      </c>
      <c r="AC558">
        <v>0</v>
      </c>
      <c r="AD558">
        <v>0</v>
      </c>
      <c r="AE558">
        <v>0</v>
      </c>
      <c r="AF558">
        <v>0</v>
      </c>
      <c r="AG558">
        <v>0</v>
      </c>
      <c r="AH558">
        <v>0</v>
      </c>
      <c r="AI558">
        <v>0</v>
      </c>
      <c r="AJ558">
        <v>0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25.52</v>
      </c>
      <c r="AR558">
        <v>0</v>
      </c>
      <c r="AS558">
        <v>0</v>
      </c>
      <c r="AT558">
        <v>0</v>
      </c>
      <c r="AU558">
        <v>0</v>
      </c>
      <c r="AV558">
        <v>0</v>
      </c>
      <c r="AW558">
        <v>0</v>
      </c>
      <c r="AX558">
        <v>0</v>
      </c>
      <c r="AY558">
        <v>0</v>
      </c>
      <c r="AZ558">
        <v>0</v>
      </c>
      <c r="BA558">
        <v>0</v>
      </c>
      <c r="BB558">
        <v>0</v>
      </c>
      <c r="BC558">
        <v>0</v>
      </c>
      <c r="BD558">
        <v>0</v>
      </c>
      <c r="BE558">
        <v>0</v>
      </c>
      <c r="BF558">
        <v>0</v>
      </c>
      <c r="BG558">
        <v>0</v>
      </c>
      <c r="BH558">
        <v>1</v>
      </c>
      <c r="BI558">
        <v>1</v>
      </c>
      <c r="BJ558">
        <v>0.2</v>
      </c>
      <c r="BK558">
        <v>1</v>
      </c>
      <c r="BL558">
        <v>76.06</v>
      </c>
      <c r="BM558">
        <v>11.41</v>
      </c>
      <c r="BN558">
        <v>87.47</v>
      </c>
      <c r="BO558">
        <v>87.47</v>
      </c>
      <c r="BQ558" t="s">
        <v>103</v>
      </c>
      <c r="BR558" t="s">
        <v>82</v>
      </c>
      <c r="BS558" s="3">
        <v>45996</v>
      </c>
      <c r="BT558" s="4">
        <v>0.35347222222222224</v>
      </c>
      <c r="BU558" t="s">
        <v>1211</v>
      </c>
      <c r="BV558" t="s">
        <v>84</v>
      </c>
      <c r="BY558">
        <v>1200</v>
      </c>
      <c r="CA558" t="s">
        <v>107</v>
      </c>
      <c r="CC558" t="s">
        <v>101</v>
      </c>
      <c r="CD558">
        <v>4000</v>
      </c>
      <c r="CE558" t="s">
        <v>134</v>
      </c>
      <c r="CF558" s="3">
        <v>45996</v>
      </c>
      <c r="CI558">
        <v>1</v>
      </c>
      <c r="CJ558">
        <v>1</v>
      </c>
      <c r="CK558">
        <v>21</v>
      </c>
      <c r="CL558" t="s">
        <v>87</v>
      </c>
    </row>
    <row r="559" spans="1:90" x14ac:dyDescent="0.3">
      <c r="A559" t="s">
        <v>72</v>
      </c>
      <c r="B559" t="s">
        <v>73</v>
      </c>
      <c r="C559" t="s">
        <v>74</v>
      </c>
      <c r="E559" t="str">
        <f>"080069674835"</f>
        <v>080069674835</v>
      </c>
      <c r="F559" s="3">
        <v>45995</v>
      </c>
      <c r="G559">
        <v>202609</v>
      </c>
      <c r="H559" t="s">
        <v>75</v>
      </c>
      <c r="I559" t="s">
        <v>76</v>
      </c>
      <c r="J559" t="s">
        <v>77</v>
      </c>
      <c r="K559" t="s">
        <v>78</v>
      </c>
      <c r="L559" t="s">
        <v>302</v>
      </c>
      <c r="M559" t="s">
        <v>303</v>
      </c>
      <c r="N559" t="s">
        <v>425</v>
      </c>
      <c r="O559" t="s">
        <v>89</v>
      </c>
      <c r="P559" t="str">
        <f>"4170071760                    "</f>
        <v xml:space="preserve">4170071760                    </v>
      </c>
      <c r="Q559">
        <v>0</v>
      </c>
      <c r="R559">
        <v>0</v>
      </c>
      <c r="S559">
        <v>0</v>
      </c>
      <c r="T559">
        <v>0</v>
      </c>
      <c r="U559">
        <v>0</v>
      </c>
      <c r="V559">
        <v>0</v>
      </c>
      <c r="W559">
        <v>0</v>
      </c>
      <c r="X559">
        <v>0</v>
      </c>
      <c r="Y559">
        <v>0</v>
      </c>
      <c r="Z559">
        <v>0</v>
      </c>
      <c r="AA559">
        <v>0</v>
      </c>
      <c r="AB559">
        <v>0</v>
      </c>
      <c r="AC559">
        <v>0</v>
      </c>
      <c r="AD559">
        <v>0</v>
      </c>
      <c r="AE559">
        <v>0</v>
      </c>
      <c r="AF559">
        <v>0</v>
      </c>
      <c r="AG559">
        <v>0</v>
      </c>
      <c r="AH559">
        <v>0</v>
      </c>
      <c r="AI559">
        <v>0</v>
      </c>
      <c r="AJ559">
        <v>0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25.52</v>
      </c>
      <c r="AR559">
        <v>0</v>
      </c>
      <c r="AS559">
        <v>0</v>
      </c>
      <c r="AT559">
        <v>0</v>
      </c>
      <c r="AU559">
        <v>0</v>
      </c>
      <c r="AV559">
        <v>0</v>
      </c>
      <c r="AW559">
        <v>0</v>
      </c>
      <c r="AX559">
        <v>0</v>
      </c>
      <c r="AY559">
        <v>0</v>
      </c>
      <c r="AZ559">
        <v>0</v>
      </c>
      <c r="BA559">
        <v>0</v>
      </c>
      <c r="BB559">
        <v>0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1</v>
      </c>
      <c r="BI559">
        <v>0.2</v>
      </c>
      <c r="BJ559">
        <v>0.9</v>
      </c>
      <c r="BK559">
        <v>1</v>
      </c>
      <c r="BL559">
        <v>76.06</v>
      </c>
      <c r="BM559">
        <v>11.41</v>
      </c>
      <c r="BN559">
        <v>87.47</v>
      </c>
      <c r="BO559">
        <v>87.47</v>
      </c>
      <c r="BQ559" t="s">
        <v>426</v>
      </c>
      <c r="BR559" t="s">
        <v>82</v>
      </c>
      <c r="BS559" s="3">
        <v>45996</v>
      </c>
      <c r="BT559" s="4">
        <v>0.36944444444444446</v>
      </c>
      <c r="BU559" t="s">
        <v>1287</v>
      </c>
      <c r="BV559" t="s">
        <v>84</v>
      </c>
      <c r="BY559">
        <v>4676.8100000000004</v>
      </c>
      <c r="CA559">
        <v>7712195338085</v>
      </c>
      <c r="CC559" t="s">
        <v>303</v>
      </c>
      <c r="CD559" s="5" t="s">
        <v>350</v>
      </c>
      <c r="CE559" t="s">
        <v>134</v>
      </c>
      <c r="CF559" s="3">
        <v>45996</v>
      </c>
      <c r="CI559">
        <v>1</v>
      </c>
      <c r="CJ559">
        <v>1</v>
      </c>
      <c r="CK559">
        <v>21</v>
      </c>
      <c r="CL559" t="s">
        <v>87</v>
      </c>
    </row>
    <row r="560" spans="1:90" x14ac:dyDescent="0.3">
      <c r="A560" t="s">
        <v>72</v>
      </c>
      <c r="B560" t="s">
        <v>73</v>
      </c>
      <c r="C560" t="s">
        <v>74</v>
      </c>
      <c r="E560" t="str">
        <f>"080069674878"</f>
        <v>080069674878</v>
      </c>
      <c r="F560" s="3">
        <v>45995</v>
      </c>
      <c r="G560">
        <v>202609</v>
      </c>
      <c r="H560" t="s">
        <v>75</v>
      </c>
      <c r="I560" t="s">
        <v>76</v>
      </c>
      <c r="J560" t="s">
        <v>77</v>
      </c>
      <c r="K560" t="s">
        <v>78</v>
      </c>
      <c r="L560" t="s">
        <v>265</v>
      </c>
      <c r="M560" t="s">
        <v>266</v>
      </c>
      <c r="N560" t="s">
        <v>1220</v>
      </c>
      <c r="O560" t="s">
        <v>89</v>
      </c>
      <c r="P560" t="str">
        <f>"4170071743                    "</f>
        <v xml:space="preserve">4170071743                    </v>
      </c>
      <c r="Q560">
        <v>0</v>
      </c>
      <c r="R560">
        <v>0</v>
      </c>
      <c r="S560">
        <v>0</v>
      </c>
      <c r="T560">
        <v>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0</v>
      </c>
      <c r="AE560">
        <v>0</v>
      </c>
      <c r="AF560">
        <v>0</v>
      </c>
      <c r="AG560">
        <v>0</v>
      </c>
      <c r="AH560">
        <v>0</v>
      </c>
      <c r="AI560">
        <v>0</v>
      </c>
      <c r="AJ560">
        <v>0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0</v>
      </c>
      <c r="AQ560">
        <v>19.940000000000001</v>
      </c>
      <c r="AR560">
        <v>0</v>
      </c>
      <c r="AS560">
        <v>0</v>
      </c>
      <c r="AT560">
        <v>0</v>
      </c>
      <c r="AU560">
        <v>0</v>
      </c>
      <c r="AV560">
        <v>0</v>
      </c>
      <c r="AW560">
        <v>0</v>
      </c>
      <c r="AX560">
        <v>0</v>
      </c>
      <c r="AY560">
        <v>0</v>
      </c>
      <c r="AZ560">
        <v>0</v>
      </c>
      <c r="BA560">
        <v>0</v>
      </c>
      <c r="BB560">
        <v>0</v>
      </c>
      <c r="BC560">
        <v>0</v>
      </c>
      <c r="BD560">
        <v>0</v>
      </c>
      <c r="BE560">
        <v>0</v>
      </c>
      <c r="BF560">
        <v>0</v>
      </c>
      <c r="BG560">
        <v>0</v>
      </c>
      <c r="BH560">
        <v>1</v>
      </c>
      <c r="BI560">
        <v>0.2</v>
      </c>
      <c r="BJ560">
        <v>1.5</v>
      </c>
      <c r="BK560">
        <v>2</v>
      </c>
      <c r="BL560">
        <v>59.42</v>
      </c>
      <c r="BM560">
        <v>8.91</v>
      </c>
      <c r="BN560">
        <v>68.33</v>
      </c>
      <c r="BO560">
        <v>68.33</v>
      </c>
      <c r="BQ560" t="s">
        <v>1221</v>
      </c>
      <c r="BR560" t="s">
        <v>82</v>
      </c>
      <c r="BS560" s="3">
        <v>45996</v>
      </c>
      <c r="BT560" s="4">
        <v>0.43541666666666667</v>
      </c>
      <c r="BU560" t="s">
        <v>1226</v>
      </c>
      <c r="BV560" t="s">
        <v>84</v>
      </c>
      <c r="BY560">
        <v>7582.64</v>
      </c>
      <c r="CA560" t="s">
        <v>319</v>
      </c>
      <c r="CC560" t="s">
        <v>266</v>
      </c>
      <c r="CD560">
        <v>1459</v>
      </c>
      <c r="CE560" t="s">
        <v>134</v>
      </c>
      <c r="CF560" s="3">
        <v>45996</v>
      </c>
      <c r="CI560">
        <v>1</v>
      </c>
      <c r="CJ560">
        <v>1</v>
      </c>
      <c r="CK560">
        <v>22</v>
      </c>
      <c r="CL560" t="s">
        <v>87</v>
      </c>
    </row>
    <row r="561" spans="1:90" x14ac:dyDescent="0.3">
      <c r="A561" t="s">
        <v>72</v>
      </c>
      <c r="B561" t="s">
        <v>73</v>
      </c>
      <c r="C561" t="s">
        <v>74</v>
      </c>
      <c r="E561" t="str">
        <f>"080069674915"</f>
        <v>080069674915</v>
      </c>
      <c r="F561" s="3">
        <v>45995</v>
      </c>
      <c r="G561">
        <v>202609</v>
      </c>
      <c r="H561" t="s">
        <v>75</v>
      </c>
      <c r="I561" t="s">
        <v>76</v>
      </c>
      <c r="J561" t="s">
        <v>77</v>
      </c>
      <c r="K561" t="s">
        <v>78</v>
      </c>
      <c r="L561" t="s">
        <v>94</v>
      </c>
      <c r="M561" t="s">
        <v>95</v>
      </c>
      <c r="N561" t="s">
        <v>96</v>
      </c>
      <c r="O561" t="s">
        <v>89</v>
      </c>
      <c r="P561" t="str">
        <f>"4170071886                    "</f>
        <v xml:space="preserve">4170071886                    </v>
      </c>
      <c r="Q561">
        <v>0</v>
      </c>
      <c r="R561">
        <v>0</v>
      </c>
      <c r="S561">
        <v>0</v>
      </c>
      <c r="T561">
        <v>0</v>
      </c>
      <c r="U561">
        <v>0</v>
      </c>
      <c r="V561">
        <v>0</v>
      </c>
      <c r="W561">
        <v>0</v>
      </c>
      <c r="X561">
        <v>0</v>
      </c>
      <c r="Y561">
        <v>0</v>
      </c>
      <c r="Z561">
        <v>0</v>
      </c>
      <c r="AA561">
        <v>0</v>
      </c>
      <c r="AB561">
        <v>0</v>
      </c>
      <c r="AC561">
        <v>0</v>
      </c>
      <c r="AD561">
        <v>0</v>
      </c>
      <c r="AE561">
        <v>0</v>
      </c>
      <c r="AF561">
        <v>0</v>
      </c>
      <c r="AG561">
        <v>0</v>
      </c>
      <c r="AH561">
        <v>0</v>
      </c>
      <c r="AI561">
        <v>0</v>
      </c>
      <c r="AJ561">
        <v>0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25.52</v>
      </c>
      <c r="AR561">
        <v>0</v>
      </c>
      <c r="AS561">
        <v>0</v>
      </c>
      <c r="AT561">
        <v>0</v>
      </c>
      <c r="AU561">
        <v>0</v>
      </c>
      <c r="AV561">
        <v>0</v>
      </c>
      <c r="AW561">
        <v>0</v>
      </c>
      <c r="AX561">
        <v>0</v>
      </c>
      <c r="AY561">
        <v>0</v>
      </c>
      <c r="AZ561">
        <v>0</v>
      </c>
      <c r="BA561">
        <v>0</v>
      </c>
      <c r="BB561">
        <v>0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1</v>
      </c>
      <c r="BI561">
        <v>1</v>
      </c>
      <c r="BJ561">
        <v>0.2</v>
      </c>
      <c r="BK561">
        <v>1</v>
      </c>
      <c r="BL561">
        <v>76.06</v>
      </c>
      <c r="BM561">
        <v>11.41</v>
      </c>
      <c r="BN561">
        <v>87.47</v>
      </c>
      <c r="BO561">
        <v>87.47</v>
      </c>
      <c r="BQ561" t="s">
        <v>97</v>
      </c>
      <c r="BR561" t="s">
        <v>82</v>
      </c>
      <c r="BS561" s="3">
        <v>45996</v>
      </c>
      <c r="BT561" s="4">
        <v>0.40138888888888891</v>
      </c>
      <c r="BU561" t="s">
        <v>98</v>
      </c>
      <c r="BV561" t="s">
        <v>84</v>
      </c>
      <c r="BY561">
        <v>1200</v>
      </c>
      <c r="CA561" t="s">
        <v>99</v>
      </c>
      <c r="CC561" t="s">
        <v>95</v>
      </c>
      <c r="CD561">
        <v>3610</v>
      </c>
      <c r="CE561" t="s">
        <v>134</v>
      </c>
      <c r="CF561" s="3">
        <v>45996</v>
      </c>
      <c r="CI561">
        <v>1</v>
      </c>
      <c r="CJ561">
        <v>1</v>
      </c>
      <c r="CK561">
        <v>21</v>
      </c>
      <c r="CL561" t="s">
        <v>87</v>
      </c>
    </row>
    <row r="562" spans="1:90" x14ac:dyDescent="0.3">
      <c r="A562" t="s">
        <v>72</v>
      </c>
      <c r="B562" t="s">
        <v>73</v>
      </c>
      <c r="C562" t="s">
        <v>74</v>
      </c>
      <c r="E562" t="str">
        <f>"080069674956"</f>
        <v>080069674956</v>
      </c>
      <c r="F562" s="3">
        <v>45995</v>
      </c>
      <c r="G562">
        <v>202609</v>
      </c>
      <c r="H562" t="s">
        <v>75</v>
      </c>
      <c r="I562" t="s">
        <v>76</v>
      </c>
      <c r="J562" t="s">
        <v>77</v>
      </c>
      <c r="K562" t="s">
        <v>78</v>
      </c>
      <c r="L562" t="s">
        <v>75</v>
      </c>
      <c r="M562" t="s">
        <v>76</v>
      </c>
      <c r="N562" t="s">
        <v>1164</v>
      </c>
      <c r="O562" t="s">
        <v>89</v>
      </c>
      <c r="P562" t="str">
        <f>"4170071838                    "</f>
        <v xml:space="preserve">4170071838                    </v>
      </c>
      <c r="Q562">
        <v>0</v>
      </c>
      <c r="R562">
        <v>0</v>
      </c>
      <c r="S562">
        <v>0</v>
      </c>
      <c r="T562">
        <v>0</v>
      </c>
      <c r="U562">
        <v>0</v>
      </c>
      <c r="V562">
        <v>0</v>
      </c>
      <c r="W562">
        <v>0</v>
      </c>
      <c r="X562">
        <v>0</v>
      </c>
      <c r="Y562">
        <v>0</v>
      </c>
      <c r="Z562">
        <v>0</v>
      </c>
      <c r="AA562">
        <v>0</v>
      </c>
      <c r="AB562">
        <v>0</v>
      </c>
      <c r="AC562">
        <v>0</v>
      </c>
      <c r="AD562">
        <v>0</v>
      </c>
      <c r="AE562">
        <v>0</v>
      </c>
      <c r="AF562">
        <v>0</v>
      </c>
      <c r="AG562">
        <v>0</v>
      </c>
      <c r="AH562">
        <v>0</v>
      </c>
      <c r="AI562">
        <v>0</v>
      </c>
      <c r="AJ562">
        <v>0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0</v>
      </c>
      <c r="AQ562">
        <v>19.940000000000001</v>
      </c>
      <c r="AR562">
        <v>0</v>
      </c>
      <c r="AS562">
        <v>0</v>
      </c>
      <c r="AT562">
        <v>0</v>
      </c>
      <c r="AU562">
        <v>0</v>
      </c>
      <c r="AV562">
        <v>0</v>
      </c>
      <c r="AW562">
        <v>0</v>
      </c>
      <c r="AX562">
        <v>0</v>
      </c>
      <c r="AY562">
        <v>0</v>
      </c>
      <c r="AZ562">
        <v>0</v>
      </c>
      <c r="BA562">
        <v>0</v>
      </c>
      <c r="BB562">
        <v>0</v>
      </c>
      <c r="BC562">
        <v>0</v>
      </c>
      <c r="BD562">
        <v>0</v>
      </c>
      <c r="BE562">
        <v>0</v>
      </c>
      <c r="BF562">
        <v>0</v>
      </c>
      <c r="BG562">
        <v>0</v>
      </c>
      <c r="BH562">
        <v>1</v>
      </c>
      <c r="BI562">
        <v>0.2</v>
      </c>
      <c r="BJ562">
        <v>0.6</v>
      </c>
      <c r="BK562">
        <v>1</v>
      </c>
      <c r="BL562">
        <v>59.42</v>
      </c>
      <c r="BM562">
        <v>8.91</v>
      </c>
      <c r="BN562">
        <v>68.33</v>
      </c>
      <c r="BO562">
        <v>68.33</v>
      </c>
      <c r="BQ562" t="s">
        <v>1165</v>
      </c>
      <c r="BR562" t="s">
        <v>82</v>
      </c>
      <c r="BS562" s="3">
        <v>45996</v>
      </c>
      <c r="BT562" s="4">
        <v>0.2986111111111111</v>
      </c>
      <c r="BU562" t="s">
        <v>1288</v>
      </c>
      <c r="BV562" t="s">
        <v>84</v>
      </c>
      <c r="BY562">
        <v>3179.52</v>
      </c>
      <c r="CA562" t="s">
        <v>92</v>
      </c>
      <c r="CC562" t="s">
        <v>76</v>
      </c>
      <c r="CD562">
        <v>1600</v>
      </c>
      <c r="CE562" t="s">
        <v>134</v>
      </c>
      <c r="CF562" s="3">
        <v>45997</v>
      </c>
      <c r="CI562">
        <v>1</v>
      </c>
      <c r="CJ562">
        <v>1</v>
      </c>
      <c r="CK562">
        <v>22</v>
      </c>
      <c r="CL562" t="s">
        <v>87</v>
      </c>
    </row>
    <row r="563" spans="1:90" x14ac:dyDescent="0.3">
      <c r="A563" t="s">
        <v>72</v>
      </c>
      <c r="B563" t="s">
        <v>73</v>
      </c>
      <c r="C563" t="s">
        <v>74</v>
      </c>
      <c r="E563" t="str">
        <f>"080069674990"</f>
        <v>080069674990</v>
      </c>
      <c r="F563" s="3">
        <v>45995</v>
      </c>
      <c r="G563">
        <v>202609</v>
      </c>
      <c r="H563" t="s">
        <v>75</v>
      </c>
      <c r="I563" t="s">
        <v>76</v>
      </c>
      <c r="J563" t="s">
        <v>77</v>
      </c>
      <c r="K563" t="s">
        <v>78</v>
      </c>
      <c r="L563" t="s">
        <v>128</v>
      </c>
      <c r="M563" t="s">
        <v>129</v>
      </c>
      <c r="N563" t="s">
        <v>1289</v>
      </c>
      <c r="O563" t="s">
        <v>89</v>
      </c>
      <c r="P563" t="str">
        <f>"4170071901                    "</f>
        <v xml:space="preserve">4170071901                    </v>
      </c>
      <c r="Q563">
        <v>0</v>
      </c>
      <c r="R563">
        <v>0</v>
      </c>
      <c r="S563">
        <v>0</v>
      </c>
      <c r="T563">
        <v>0</v>
      </c>
      <c r="U563">
        <v>0</v>
      </c>
      <c r="V563">
        <v>0</v>
      </c>
      <c r="W563">
        <v>0</v>
      </c>
      <c r="X563">
        <v>0</v>
      </c>
      <c r="Y563">
        <v>0</v>
      </c>
      <c r="Z563">
        <v>0</v>
      </c>
      <c r="AA563">
        <v>0</v>
      </c>
      <c r="AB563">
        <v>0</v>
      </c>
      <c r="AC563">
        <v>0</v>
      </c>
      <c r="AD563">
        <v>0</v>
      </c>
      <c r="AE563">
        <v>0</v>
      </c>
      <c r="AF563">
        <v>0</v>
      </c>
      <c r="AG563">
        <v>0</v>
      </c>
      <c r="AH563">
        <v>0</v>
      </c>
      <c r="AI563">
        <v>0</v>
      </c>
      <c r="AJ563">
        <v>0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25.52</v>
      </c>
      <c r="AR563">
        <v>0</v>
      </c>
      <c r="AS563">
        <v>0</v>
      </c>
      <c r="AT563">
        <v>0</v>
      </c>
      <c r="AU563">
        <v>0</v>
      </c>
      <c r="AV563">
        <v>0</v>
      </c>
      <c r="AW563">
        <v>0</v>
      </c>
      <c r="AX563">
        <v>0</v>
      </c>
      <c r="AY563">
        <v>0</v>
      </c>
      <c r="AZ563">
        <v>0</v>
      </c>
      <c r="BA563">
        <v>0</v>
      </c>
      <c r="BB563">
        <v>0</v>
      </c>
      <c r="BC563">
        <v>0</v>
      </c>
      <c r="BD563">
        <v>0</v>
      </c>
      <c r="BE563">
        <v>0</v>
      </c>
      <c r="BF563">
        <v>0</v>
      </c>
      <c r="BG563">
        <v>0</v>
      </c>
      <c r="BH563">
        <v>1</v>
      </c>
      <c r="BI563">
        <v>1</v>
      </c>
      <c r="BJ563">
        <v>0.2</v>
      </c>
      <c r="BK563">
        <v>1</v>
      </c>
      <c r="BL563">
        <v>76.06</v>
      </c>
      <c r="BM563">
        <v>11.41</v>
      </c>
      <c r="BN563">
        <v>87.47</v>
      </c>
      <c r="BO563">
        <v>87.47</v>
      </c>
      <c r="BQ563" t="s">
        <v>1290</v>
      </c>
      <c r="BR563" t="s">
        <v>82</v>
      </c>
      <c r="BS563" s="3">
        <v>45996</v>
      </c>
      <c r="BT563" s="4">
        <v>0.44097222222222221</v>
      </c>
      <c r="BU563" t="s">
        <v>1291</v>
      </c>
      <c r="BV563" t="s">
        <v>84</v>
      </c>
      <c r="BY563">
        <v>1200</v>
      </c>
      <c r="CA563" t="s">
        <v>133</v>
      </c>
      <c r="CC563" t="s">
        <v>129</v>
      </c>
      <c r="CD563">
        <v>5201</v>
      </c>
      <c r="CE563" t="s">
        <v>134</v>
      </c>
      <c r="CF563" s="3">
        <v>45999</v>
      </c>
      <c r="CI563">
        <v>1</v>
      </c>
      <c r="CJ563">
        <v>1</v>
      </c>
      <c r="CK563">
        <v>21</v>
      </c>
      <c r="CL563" t="s">
        <v>87</v>
      </c>
    </row>
    <row r="564" spans="1:90" x14ac:dyDescent="0.3">
      <c r="A564" t="s">
        <v>72</v>
      </c>
      <c r="B564" t="s">
        <v>73</v>
      </c>
      <c r="C564" t="s">
        <v>74</v>
      </c>
      <c r="E564" t="str">
        <f>"080069675030"</f>
        <v>080069675030</v>
      </c>
      <c r="F564" s="3">
        <v>45995</v>
      </c>
      <c r="G564">
        <v>202609</v>
      </c>
      <c r="H564" t="s">
        <v>75</v>
      </c>
      <c r="I564" t="s">
        <v>76</v>
      </c>
      <c r="J564" t="s">
        <v>77</v>
      </c>
      <c r="K564" t="s">
        <v>78</v>
      </c>
      <c r="L564" t="s">
        <v>128</v>
      </c>
      <c r="M564" t="s">
        <v>129</v>
      </c>
      <c r="N564" t="s">
        <v>383</v>
      </c>
      <c r="O564" t="s">
        <v>89</v>
      </c>
      <c r="P564" t="str">
        <f>"4170071867                    "</f>
        <v xml:space="preserve">4170071867                    </v>
      </c>
      <c r="Q564">
        <v>0</v>
      </c>
      <c r="R564">
        <v>0</v>
      </c>
      <c r="S564">
        <v>0</v>
      </c>
      <c r="T564">
        <v>0</v>
      </c>
      <c r="U564">
        <v>0</v>
      </c>
      <c r="V564">
        <v>0</v>
      </c>
      <c r="W564">
        <v>0</v>
      </c>
      <c r="X564">
        <v>0</v>
      </c>
      <c r="Y564">
        <v>0</v>
      </c>
      <c r="Z564">
        <v>0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0</v>
      </c>
      <c r="AJ564">
        <v>0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25.52</v>
      </c>
      <c r="AR564">
        <v>0</v>
      </c>
      <c r="AS564">
        <v>0</v>
      </c>
      <c r="AT564">
        <v>0</v>
      </c>
      <c r="AU564">
        <v>0</v>
      </c>
      <c r="AV564">
        <v>0</v>
      </c>
      <c r="AW564">
        <v>0</v>
      </c>
      <c r="AX564">
        <v>0</v>
      </c>
      <c r="AY564">
        <v>0</v>
      </c>
      <c r="AZ564">
        <v>0</v>
      </c>
      <c r="BA564">
        <v>0</v>
      </c>
      <c r="BB564">
        <v>0</v>
      </c>
      <c r="BC564">
        <v>0</v>
      </c>
      <c r="BD564">
        <v>0</v>
      </c>
      <c r="BE564">
        <v>0</v>
      </c>
      <c r="BF564">
        <v>0</v>
      </c>
      <c r="BG564">
        <v>0</v>
      </c>
      <c r="BH564">
        <v>1</v>
      </c>
      <c r="BI564">
        <v>1</v>
      </c>
      <c r="BJ564">
        <v>0.2</v>
      </c>
      <c r="BK564">
        <v>1</v>
      </c>
      <c r="BL564">
        <v>76.06</v>
      </c>
      <c r="BM564">
        <v>11.41</v>
      </c>
      <c r="BN564">
        <v>87.47</v>
      </c>
      <c r="BO564">
        <v>87.47</v>
      </c>
      <c r="BQ564" t="s">
        <v>384</v>
      </c>
      <c r="BR564" t="s">
        <v>82</v>
      </c>
      <c r="BS564" s="3">
        <v>45996</v>
      </c>
      <c r="BT564" s="4">
        <v>0.54166666666666663</v>
      </c>
      <c r="BU564" t="s">
        <v>1292</v>
      </c>
      <c r="BV564" t="s">
        <v>87</v>
      </c>
      <c r="BW564" t="s">
        <v>722</v>
      </c>
      <c r="BX564" t="s">
        <v>1293</v>
      </c>
      <c r="BY564">
        <v>1200</v>
      </c>
      <c r="CA564" t="s">
        <v>188</v>
      </c>
      <c r="CC564" t="s">
        <v>129</v>
      </c>
      <c r="CD564">
        <v>5201</v>
      </c>
      <c r="CE564" t="s">
        <v>134</v>
      </c>
      <c r="CF564" s="3">
        <v>45999</v>
      </c>
      <c r="CI564">
        <v>1</v>
      </c>
      <c r="CJ564">
        <v>1</v>
      </c>
      <c r="CK564">
        <v>21</v>
      </c>
      <c r="CL564" t="s">
        <v>87</v>
      </c>
    </row>
    <row r="565" spans="1:90" x14ac:dyDescent="0.3">
      <c r="A565" t="s">
        <v>72</v>
      </c>
      <c r="B565" t="s">
        <v>73</v>
      </c>
      <c r="C565" t="s">
        <v>74</v>
      </c>
      <c r="E565" t="str">
        <f>"080069675092"</f>
        <v>080069675092</v>
      </c>
      <c r="F565" s="3">
        <v>45995</v>
      </c>
      <c r="G565">
        <v>202609</v>
      </c>
      <c r="H565" t="s">
        <v>75</v>
      </c>
      <c r="I565" t="s">
        <v>76</v>
      </c>
      <c r="J565" t="s">
        <v>77</v>
      </c>
      <c r="K565" t="s">
        <v>78</v>
      </c>
      <c r="L565" t="s">
        <v>100</v>
      </c>
      <c r="M565" t="s">
        <v>101</v>
      </c>
      <c r="N565" t="s">
        <v>102</v>
      </c>
      <c r="O565" t="s">
        <v>89</v>
      </c>
      <c r="P565" t="str">
        <f>"4170071768                    "</f>
        <v xml:space="preserve">4170071768                    </v>
      </c>
      <c r="Q565">
        <v>0</v>
      </c>
      <c r="R565">
        <v>0</v>
      </c>
      <c r="S565">
        <v>0</v>
      </c>
      <c r="T565">
        <v>0</v>
      </c>
      <c r="U565">
        <v>0</v>
      </c>
      <c r="V565">
        <v>0</v>
      </c>
      <c r="W565">
        <v>0</v>
      </c>
      <c r="X565">
        <v>0</v>
      </c>
      <c r="Y565">
        <v>0</v>
      </c>
      <c r="Z565">
        <v>0</v>
      </c>
      <c r="AA565">
        <v>0</v>
      </c>
      <c r="AB565">
        <v>0</v>
      </c>
      <c r="AC565">
        <v>0</v>
      </c>
      <c r="AD565">
        <v>0</v>
      </c>
      <c r="AE565">
        <v>0</v>
      </c>
      <c r="AF565">
        <v>0</v>
      </c>
      <c r="AG565">
        <v>0</v>
      </c>
      <c r="AH565">
        <v>0</v>
      </c>
      <c r="AI565">
        <v>0</v>
      </c>
      <c r="AJ565">
        <v>0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25.52</v>
      </c>
      <c r="AR565">
        <v>0</v>
      </c>
      <c r="AS565">
        <v>0</v>
      </c>
      <c r="AT565">
        <v>0</v>
      </c>
      <c r="AU565">
        <v>0</v>
      </c>
      <c r="AV565">
        <v>0</v>
      </c>
      <c r="AW565">
        <v>0</v>
      </c>
      <c r="AX565">
        <v>0</v>
      </c>
      <c r="AY565">
        <v>0</v>
      </c>
      <c r="AZ565">
        <v>0</v>
      </c>
      <c r="BA565">
        <v>0</v>
      </c>
      <c r="BB565">
        <v>0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1</v>
      </c>
      <c r="BI565">
        <v>1</v>
      </c>
      <c r="BJ565">
        <v>0.2</v>
      </c>
      <c r="BK565">
        <v>1</v>
      </c>
      <c r="BL565">
        <v>76.06</v>
      </c>
      <c r="BM565">
        <v>11.41</v>
      </c>
      <c r="BN565">
        <v>87.47</v>
      </c>
      <c r="BO565">
        <v>87.47</v>
      </c>
      <c r="BQ565" t="s">
        <v>103</v>
      </c>
      <c r="BR565" t="s">
        <v>82</v>
      </c>
      <c r="BS565" s="3">
        <v>45996</v>
      </c>
      <c r="BT565" s="4">
        <v>0.35347222222222224</v>
      </c>
      <c r="BU565" t="s">
        <v>1211</v>
      </c>
      <c r="BV565" t="s">
        <v>84</v>
      </c>
      <c r="BY565">
        <v>1200</v>
      </c>
      <c r="CA565" t="s">
        <v>107</v>
      </c>
      <c r="CC565" t="s">
        <v>101</v>
      </c>
      <c r="CD565">
        <v>4000</v>
      </c>
      <c r="CE565" t="s">
        <v>134</v>
      </c>
      <c r="CF565" s="3">
        <v>45996</v>
      </c>
      <c r="CI565">
        <v>1</v>
      </c>
      <c r="CJ565">
        <v>1</v>
      </c>
      <c r="CK565">
        <v>21</v>
      </c>
      <c r="CL565" t="s">
        <v>87</v>
      </c>
    </row>
    <row r="566" spans="1:90" x14ac:dyDescent="0.3">
      <c r="A566" t="s">
        <v>72</v>
      </c>
      <c r="B566" t="s">
        <v>73</v>
      </c>
      <c r="C566" t="s">
        <v>74</v>
      </c>
      <c r="E566" t="str">
        <f>"080069675129"</f>
        <v>080069675129</v>
      </c>
      <c r="F566" s="3">
        <v>45995</v>
      </c>
      <c r="G566">
        <v>202609</v>
      </c>
      <c r="H566" t="s">
        <v>75</v>
      </c>
      <c r="I566" t="s">
        <v>76</v>
      </c>
      <c r="J566" t="s">
        <v>77</v>
      </c>
      <c r="K566" t="s">
        <v>78</v>
      </c>
      <c r="L566" t="s">
        <v>218</v>
      </c>
      <c r="M566" t="s">
        <v>219</v>
      </c>
      <c r="N566" t="s">
        <v>220</v>
      </c>
      <c r="O566" t="s">
        <v>89</v>
      </c>
      <c r="P566" t="str">
        <f>"4170071899                    "</f>
        <v xml:space="preserve">4170071899                    </v>
      </c>
      <c r="Q566">
        <v>0</v>
      </c>
      <c r="R566">
        <v>0</v>
      </c>
      <c r="S566">
        <v>0</v>
      </c>
      <c r="T566">
        <v>0</v>
      </c>
      <c r="U566">
        <v>0</v>
      </c>
      <c r="V566">
        <v>0</v>
      </c>
      <c r="W566">
        <v>0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0</v>
      </c>
      <c r="AJ566">
        <v>0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49.45</v>
      </c>
      <c r="AR566">
        <v>0</v>
      </c>
      <c r="AS566">
        <v>0</v>
      </c>
      <c r="AT566">
        <v>0</v>
      </c>
      <c r="AU566">
        <v>0</v>
      </c>
      <c r="AV566">
        <v>0</v>
      </c>
      <c r="AW566">
        <v>0</v>
      </c>
      <c r="AX566">
        <v>0</v>
      </c>
      <c r="AY566">
        <v>0</v>
      </c>
      <c r="AZ566">
        <v>0</v>
      </c>
      <c r="BA566">
        <v>0</v>
      </c>
      <c r="BB566">
        <v>0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1</v>
      </c>
      <c r="BI566">
        <v>0.2</v>
      </c>
      <c r="BJ566">
        <v>1.1000000000000001</v>
      </c>
      <c r="BK566">
        <v>1.5</v>
      </c>
      <c r="BL566">
        <v>147.38</v>
      </c>
      <c r="BM566">
        <v>22.11</v>
      </c>
      <c r="BN566">
        <v>169.49</v>
      </c>
      <c r="BO566">
        <v>169.49</v>
      </c>
      <c r="BQ566" t="s">
        <v>221</v>
      </c>
      <c r="BR566" t="s">
        <v>82</v>
      </c>
      <c r="BS566" s="3">
        <v>45996</v>
      </c>
      <c r="BT566" s="4">
        <v>0.31597222222222221</v>
      </c>
      <c r="BU566" t="s">
        <v>1294</v>
      </c>
      <c r="BV566" t="s">
        <v>84</v>
      </c>
      <c r="BY566">
        <v>5360.64</v>
      </c>
      <c r="CC566" t="s">
        <v>219</v>
      </c>
      <c r="CD566">
        <v>2740</v>
      </c>
      <c r="CE566" t="s">
        <v>134</v>
      </c>
      <c r="CF566" s="3">
        <v>45999</v>
      </c>
      <c r="CI566">
        <v>1</v>
      </c>
      <c r="CJ566">
        <v>1</v>
      </c>
      <c r="CK566">
        <v>23</v>
      </c>
      <c r="CL566" t="s">
        <v>87</v>
      </c>
    </row>
    <row r="567" spans="1:90" x14ac:dyDescent="0.3">
      <c r="A567" t="s">
        <v>72</v>
      </c>
      <c r="B567" t="s">
        <v>73</v>
      </c>
      <c r="C567" t="s">
        <v>74</v>
      </c>
      <c r="E567" t="str">
        <f>"080069675150"</f>
        <v>080069675150</v>
      </c>
      <c r="F567" s="3">
        <v>45995</v>
      </c>
      <c r="G567">
        <v>202609</v>
      </c>
      <c r="H567" t="s">
        <v>75</v>
      </c>
      <c r="I567" t="s">
        <v>76</v>
      </c>
      <c r="J567" t="s">
        <v>77</v>
      </c>
      <c r="K567" t="s">
        <v>78</v>
      </c>
      <c r="L567" t="s">
        <v>141</v>
      </c>
      <c r="M567" t="s">
        <v>142</v>
      </c>
      <c r="N567" t="s">
        <v>738</v>
      </c>
      <c r="O567" t="s">
        <v>89</v>
      </c>
      <c r="P567" t="str">
        <f>"4170071813                    "</f>
        <v xml:space="preserve">4170071813                    </v>
      </c>
      <c r="Q567">
        <v>0</v>
      </c>
      <c r="R567">
        <v>0</v>
      </c>
      <c r="S567">
        <v>0</v>
      </c>
      <c r="T567">
        <v>0</v>
      </c>
      <c r="U567">
        <v>0</v>
      </c>
      <c r="V567">
        <v>0</v>
      </c>
      <c r="W567">
        <v>0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0</v>
      </c>
      <c r="AD567">
        <v>0</v>
      </c>
      <c r="AE567">
        <v>0</v>
      </c>
      <c r="AF567">
        <v>0</v>
      </c>
      <c r="AG567">
        <v>0</v>
      </c>
      <c r="AH567">
        <v>0</v>
      </c>
      <c r="AI567">
        <v>0</v>
      </c>
      <c r="AJ567">
        <v>0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25.52</v>
      </c>
      <c r="AR567">
        <v>0</v>
      </c>
      <c r="AS567">
        <v>0</v>
      </c>
      <c r="AT567">
        <v>0</v>
      </c>
      <c r="AU567">
        <v>0</v>
      </c>
      <c r="AV567">
        <v>0</v>
      </c>
      <c r="AW567">
        <v>0</v>
      </c>
      <c r="AX567">
        <v>0</v>
      </c>
      <c r="AY567">
        <v>0</v>
      </c>
      <c r="AZ567">
        <v>0</v>
      </c>
      <c r="BA567">
        <v>0</v>
      </c>
      <c r="BB567">
        <v>0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1</v>
      </c>
      <c r="BI567">
        <v>1</v>
      </c>
      <c r="BJ567">
        <v>0.2</v>
      </c>
      <c r="BK567">
        <v>1</v>
      </c>
      <c r="BL567">
        <v>76.06</v>
      </c>
      <c r="BM567">
        <v>11.41</v>
      </c>
      <c r="BN567">
        <v>87.47</v>
      </c>
      <c r="BO567">
        <v>87.47</v>
      </c>
      <c r="BQ567" t="s">
        <v>739</v>
      </c>
      <c r="BR567" t="s">
        <v>82</v>
      </c>
      <c r="BS567" s="3">
        <v>45996</v>
      </c>
      <c r="BT567" s="4">
        <v>0.43125000000000002</v>
      </c>
      <c r="BU567" t="s">
        <v>968</v>
      </c>
      <c r="BV567" t="s">
        <v>84</v>
      </c>
      <c r="BY567">
        <v>1200</v>
      </c>
      <c r="CA567" t="s">
        <v>277</v>
      </c>
      <c r="CC567" t="s">
        <v>142</v>
      </c>
      <c r="CD567">
        <v>6001</v>
      </c>
      <c r="CE567" t="s">
        <v>134</v>
      </c>
      <c r="CF567" s="3">
        <v>45996</v>
      </c>
      <c r="CI567">
        <v>1</v>
      </c>
      <c r="CJ567">
        <v>1</v>
      </c>
      <c r="CK567">
        <v>21</v>
      </c>
      <c r="CL567" t="s">
        <v>87</v>
      </c>
    </row>
    <row r="568" spans="1:90" x14ac:dyDescent="0.3">
      <c r="A568" t="s">
        <v>72</v>
      </c>
      <c r="B568" t="s">
        <v>73</v>
      </c>
      <c r="C568" t="s">
        <v>74</v>
      </c>
      <c r="E568" t="str">
        <f>"080069675215"</f>
        <v>080069675215</v>
      </c>
      <c r="F568" s="3">
        <v>45995</v>
      </c>
      <c r="G568">
        <v>202609</v>
      </c>
      <c r="H568" t="s">
        <v>75</v>
      </c>
      <c r="I568" t="s">
        <v>76</v>
      </c>
      <c r="J568" t="s">
        <v>77</v>
      </c>
      <c r="K568" t="s">
        <v>78</v>
      </c>
      <c r="L568" t="s">
        <v>176</v>
      </c>
      <c r="M568" t="s">
        <v>177</v>
      </c>
      <c r="N568" t="s">
        <v>906</v>
      </c>
      <c r="O568" t="s">
        <v>89</v>
      </c>
      <c r="P568" t="str">
        <f>"4170071775                    "</f>
        <v xml:space="preserve">4170071775                    </v>
      </c>
      <c r="Q568">
        <v>0</v>
      </c>
      <c r="R568">
        <v>0</v>
      </c>
      <c r="S568">
        <v>0</v>
      </c>
      <c r="T568">
        <v>0</v>
      </c>
      <c r="U568">
        <v>0</v>
      </c>
      <c r="V568">
        <v>0</v>
      </c>
      <c r="W568">
        <v>0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0</v>
      </c>
      <c r="AD568">
        <v>0</v>
      </c>
      <c r="AE568">
        <v>0</v>
      </c>
      <c r="AF568">
        <v>0</v>
      </c>
      <c r="AG568">
        <v>0</v>
      </c>
      <c r="AH568">
        <v>0</v>
      </c>
      <c r="AI568">
        <v>0</v>
      </c>
      <c r="AJ568">
        <v>0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19.940000000000001</v>
      </c>
      <c r="AR568">
        <v>0</v>
      </c>
      <c r="AS568">
        <v>0</v>
      </c>
      <c r="AT568">
        <v>0</v>
      </c>
      <c r="AU568">
        <v>0</v>
      </c>
      <c r="AV568">
        <v>0</v>
      </c>
      <c r="AW568">
        <v>0</v>
      </c>
      <c r="AX568">
        <v>0</v>
      </c>
      <c r="AY568">
        <v>0</v>
      </c>
      <c r="AZ568">
        <v>0</v>
      </c>
      <c r="BA568">
        <v>0</v>
      </c>
      <c r="BB568">
        <v>0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1</v>
      </c>
      <c r="BI568">
        <v>0.2</v>
      </c>
      <c r="BJ568">
        <v>1</v>
      </c>
      <c r="BK568">
        <v>1</v>
      </c>
      <c r="BL568">
        <v>59.42</v>
      </c>
      <c r="BM568">
        <v>8.91</v>
      </c>
      <c r="BN568">
        <v>68.33</v>
      </c>
      <c r="BO568">
        <v>68.33</v>
      </c>
      <c r="BQ568" t="s">
        <v>907</v>
      </c>
      <c r="BR568" t="s">
        <v>82</v>
      </c>
      <c r="BS568" s="3">
        <v>45999</v>
      </c>
      <c r="BT568" s="4">
        <v>0.41736111111111113</v>
      </c>
      <c r="BU568" t="s">
        <v>1295</v>
      </c>
      <c r="BV568" t="s">
        <v>87</v>
      </c>
      <c r="BW568" t="s">
        <v>174</v>
      </c>
      <c r="BX568" t="s">
        <v>181</v>
      </c>
      <c r="BY568">
        <v>5106.96</v>
      </c>
      <c r="CA568" t="s">
        <v>909</v>
      </c>
      <c r="CC568" t="s">
        <v>177</v>
      </c>
      <c r="CD568">
        <v>2092</v>
      </c>
      <c r="CE568" t="s">
        <v>134</v>
      </c>
      <c r="CF568" s="3">
        <v>46000</v>
      </c>
      <c r="CI568">
        <v>1</v>
      </c>
      <c r="CJ568">
        <v>2</v>
      </c>
      <c r="CK568">
        <v>22</v>
      </c>
      <c r="CL568" t="s">
        <v>87</v>
      </c>
    </row>
    <row r="569" spans="1:90" x14ac:dyDescent="0.3">
      <c r="A569" t="s">
        <v>72</v>
      </c>
      <c r="B569" t="s">
        <v>73</v>
      </c>
      <c r="C569" t="s">
        <v>74</v>
      </c>
      <c r="E569" t="str">
        <f>"080069675277"</f>
        <v>080069675277</v>
      </c>
      <c r="F569" s="3">
        <v>45995</v>
      </c>
      <c r="G569">
        <v>202609</v>
      </c>
      <c r="H569" t="s">
        <v>75</v>
      </c>
      <c r="I569" t="s">
        <v>76</v>
      </c>
      <c r="J569" t="s">
        <v>77</v>
      </c>
      <c r="K569" t="s">
        <v>78</v>
      </c>
      <c r="L569" t="s">
        <v>156</v>
      </c>
      <c r="M569" t="s">
        <v>157</v>
      </c>
      <c r="N569" t="s">
        <v>261</v>
      </c>
      <c r="O569" t="s">
        <v>89</v>
      </c>
      <c r="P569" t="str">
        <f>"4170071750                    "</f>
        <v xml:space="preserve">4170071750                    </v>
      </c>
      <c r="Q569">
        <v>0</v>
      </c>
      <c r="R569">
        <v>0</v>
      </c>
      <c r="S569">
        <v>0</v>
      </c>
      <c r="T569">
        <v>0</v>
      </c>
      <c r="U569">
        <v>0</v>
      </c>
      <c r="V569">
        <v>0</v>
      </c>
      <c r="W569">
        <v>0</v>
      </c>
      <c r="X569">
        <v>0</v>
      </c>
      <c r="Y569">
        <v>0</v>
      </c>
      <c r="Z569">
        <v>0</v>
      </c>
      <c r="AA569">
        <v>0</v>
      </c>
      <c r="AB569">
        <v>0</v>
      </c>
      <c r="AC569">
        <v>0</v>
      </c>
      <c r="AD569">
        <v>0</v>
      </c>
      <c r="AE569">
        <v>0</v>
      </c>
      <c r="AF569">
        <v>0</v>
      </c>
      <c r="AG569">
        <v>0</v>
      </c>
      <c r="AH569">
        <v>0</v>
      </c>
      <c r="AI569">
        <v>0</v>
      </c>
      <c r="AJ569">
        <v>0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0</v>
      </c>
      <c r="AQ569">
        <v>25.52</v>
      </c>
      <c r="AR569">
        <v>0</v>
      </c>
      <c r="AS569">
        <v>0</v>
      </c>
      <c r="AT569">
        <v>0</v>
      </c>
      <c r="AU569">
        <v>0</v>
      </c>
      <c r="AV569">
        <v>0</v>
      </c>
      <c r="AW569">
        <v>0</v>
      </c>
      <c r="AX569">
        <v>0</v>
      </c>
      <c r="AY569">
        <v>0</v>
      </c>
      <c r="AZ569">
        <v>0</v>
      </c>
      <c r="BA569">
        <v>0</v>
      </c>
      <c r="BB569">
        <v>0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1</v>
      </c>
      <c r="BI569">
        <v>1</v>
      </c>
      <c r="BJ569">
        <v>0.2</v>
      </c>
      <c r="BK569">
        <v>1</v>
      </c>
      <c r="BL569">
        <v>76.06</v>
      </c>
      <c r="BM569">
        <v>11.41</v>
      </c>
      <c r="BN569">
        <v>87.47</v>
      </c>
      <c r="BO569">
        <v>87.47</v>
      </c>
      <c r="BQ569" t="s">
        <v>262</v>
      </c>
      <c r="BR569" t="s">
        <v>82</v>
      </c>
      <c r="BS569" s="3">
        <v>45996</v>
      </c>
      <c r="BT569" s="4">
        <v>0.39861111111111114</v>
      </c>
      <c r="BU569" t="s">
        <v>263</v>
      </c>
      <c r="BV569" t="s">
        <v>84</v>
      </c>
      <c r="BY569">
        <v>1200</v>
      </c>
      <c r="CA569" t="s">
        <v>264</v>
      </c>
      <c r="CC569" t="s">
        <v>157</v>
      </c>
      <c r="CD569">
        <v>7441</v>
      </c>
      <c r="CE569" t="s">
        <v>134</v>
      </c>
      <c r="CF569" s="3">
        <v>45999</v>
      </c>
      <c r="CI569">
        <v>1</v>
      </c>
      <c r="CJ569">
        <v>1</v>
      </c>
      <c r="CK569">
        <v>21</v>
      </c>
      <c r="CL569" t="s">
        <v>87</v>
      </c>
    </row>
    <row r="570" spans="1:90" x14ac:dyDescent="0.3">
      <c r="A570" t="s">
        <v>72</v>
      </c>
      <c r="B570" t="s">
        <v>73</v>
      </c>
      <c r="C570" t="s">
        <v>74</v>
      </c>
      <c r="E570" t="str">
        <f>"080069675272"</f>
        <v>080069675272</v>
      </c>
      <c r="F570" s="3">
        <v>45995</v>
      </c>
      <c r="G570">
        <v>202609</v>
      </c>
      <c r="H570" t="s">
        <v>75</v>
      </c>
      <c r="I570" t="s">
        <v>76</v>
      </c>
      <c r="J570" t="s">
        <v>77</v>
      </c>
      <c r="K570" t="s">
        <v>78</v>
      </c>
      <c r="L570" t="s">
        <v>302</v>
      </c>
      <c r="M570" t="s">
        <v>303</v>
      </c>
      <c r="N570" t="s">
        <v>1296</v>
      </c>
      <c r="O570" t="s">
        <v>80</v>
      </c>
      <c r="P570" t="str">
        <f>"4170071917                    "</f>
        <v xml:space="preserve">4170071917                    </v>
      </c>
      <c r="Q570">
        <v>0</v>
      </c>
      <c r="R570">
        <v>0</v>
      </c>
      <c r="S570">
        <v>0</v>
      </c>
      <c r="T570">
        <v>0</v>
      </c>
      <c r="U570">
        <v>0</v>
      </c>
      <c r="V570">
        <v>0</v>
      </c>
      <c r="W570">
        <v>0</v>
      </c>
      <c r="X570">
        <v>0</v>
      </c>
      <c r="Y570">
        <v>0</v>
      </c>
      <c r="Z570">
        <v>0</v>
      </c>
      <c r="AA570">
        <v>0</v>
      </c>
      <c r="AB570">
        <v>0</v>
      </c>
      <c r="AC570">
        <v>0</v>
      </c>
      <c r="AD570">
        <v>0</v>
      </c>
      <c r="AE570">
        <v>0</v>
      </c>
      <c r="AF570">
        <v>0</v>
      </c>
      <c r="AG570">
        <v>0</v>
      </c>
      <c r="AH570">
        <v>0</v>
      </c>
      <c r="AI570">
        <v>0</v>
      </c>
      <c r="AJ570">
        <v>0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0</v>
      </c>
      <c r="AQ570">
        <v>49.36</v>
      </c>
      <c r="AR570">
        <v>0</v>
      </c>
      <c r="AS570">
        <v>0</v>
      </c>
      <c r="AT570">
        <v>0</v>
      </c>
      <c r="AU570">
        <v>0</v>
      </c>
      <c r="AV570">
        <v>0</v>
      </c>
      <c r="AW570">
        <v>0</v>
      </c>
      <c r="AX570">
        <v>0</v>
      </c>
      <c r="AY570">
        <v>0</v>
      </c>
      <c r="AZ570">
        <v>0</v>
      </c>
      <c r="BA570">
        <v>0</v>
      </c>
      <c r="BB570">
        <v>0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2</v>
      </c>
      <c r="BI570">
        <v>7.3</v>
      </c>
      <c r="BJ570">
        <v>4.4000000000000004</v>
      </c>
      <c r="BK570">
        <v>8</v>
      </c>
      <c r="BL570">
        <v>153.19999999999999</v>
      </c>
      <c r="BM570">
        <v>22.98</v>
      </c>
      <c r="BN570">
        <v>176.18</v>
      </c>
      <c r="BO570">
        <v>176.18</v>
      </c>
      <c r="BQ570" t="s">
        <v>1297</v>
      </c>
      <c r="BR570" t="s">
        <v>82</v>
      </c>
      <c r="BS570" s="3">
        <v>45996</v>
      </c>
      <c r="BT570" s="4">
        <v>0.3263888888888889</v>
      </c>
      <c r="BU570" t="s">
        <v>1298</v>
      </c>
      <c r="BV570" t="s">
        <v>84</v>
      </c>
      <c r="BY570">
        <v>21827.47</v>
      </c>
      <c r="CA570">
        <v>8602010437080</v>
      </c>
      <c r="CC570" t="s">
        <v>303</v>
      </c>
      <c r="CD570" s="5" t="s">
        <v>597</v>
      </c>
      <c r="CE570" t="s">
        <v>450</v>
      </c>
      <c r="CF570" s="3">
        <v>45996</v>
      </c>
      <c r="CI570">
        <v>1</v>
      </c>
      <c r="CJ570">
        <v>1</v>
      </c>
      <c r="CK570">
        <v>41</v>
      </c>
      <c r="CL570" t="s">
        <v>87</v>
      </c>
    </row>
    <row r="571" spans="1:90" x14ac:dyDescent="0.3">
      <c r="A571" t="s">
        <v>72</v>
      </c>
      <c r="B571" t="s">
        <v>73</v>
      </c>
      <c r="C571" t="s">
        <v>74</v>
      </c>
      <c r="E571" t="str">
        <f>"080069675355"</f>
        <v>080069675355</v>
      </c>
      <c r="F571" s="3">
        <v>45995</v>
      </c>
      <c r="G571">
        <v>202609</v>
      </c>
      <c r="H571" t="s">
        <v>75</v>
      </c>
      <c r="I571" t="s">
        <v>76</v>
      </c>
      <c r="J571" t="s">
        <v>77</v>
      </c>
      <c r="K571" t="s">
        <v>78</v>
      </c>
      <c r="L571" t="s">
        <v>94</v>
      </c>
      <c r="M571" t="s">
        <v>95</v>
      </c>
      <c r="N571" t="s">
        <v>96</v>
      </c>
      <c r="O571" t="s">
        <v>89</v>
      </c>
      <c r="P571" t="str">
        <f>"4170071904                    "</f>
        <v xml:space="preserve">4170071904                    </v>
      </c>
      <c r="Q571">
        <v>0</v>
      </c>
      <c r="R571">
        <v>0</v>
      </c>
      <c r="S571">
        <v>0</v>
      </c>
      <c r="T571">
        <v>0</v>
      </c>
      <c r="U571">
        <v>0</v>
      </c>
      <c r="V571">
        <v>0</v>
      </c>
      <c r="W571">
        <v>0</v>
      </c>
      <c r="X571">
        <v>0</v>
      </c>
      <c r="Y571">
        <v>0</v>
      </c>
      <c r="Z571">
        <v>0</v>
      </c>
      <c r="AA571">
        <v>0</v>
      </c>
      <c r="AB571">
        <v>0</v>
      </c>
      <c r="AC571">
        <v>0</v>
      </c>
      <c r="AD571">
        <v>0</v>
      </c>
      <c r="AE571">
        <v>0</v>
      </c>
      <c r="AF571">
        <v>0</v>
      </c>
      <c r="AG571">
        <v>0</v>
      </c>
      <c r="AH571">
        <v>0</v>
      </c>
      <c r="AI571">
        <v>0</v>
      </c>
      <c r="AJ571">
        <v>0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140.33000000000001</v>
      </c>
      <c r="AR571">
        <v>0</v>
      </c>
      <c r="AS571">
        <v>0</v>
      </c>
      <c r="AT571">
        <v>0</v>
      </c>
      <c r="AU571">
        <v>0</v>
      </c>
      <c r="AV571">
        <v>0</v>
      </c>
      <c r="AW571">
        <v>0</v>
      </c>
      <c r="AX571">
        <v>0</v>
      </c>
      <c r="AY571">
        <v>0</v>
      </c>
      <c r="AZ571">
        <v>0</v>
      </c>
      <c r="BA571">
        <v>0</v>
      </c>
      <c r="BB571">
        <v>0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1</v>
      </c>
      <c r="BI571">
        <v>11</v>
      </c>
      <c r="BJ571">
        <v>6.1</v>
      </c>
      <c r="BK571">
        <v>11</v>
      </c>
      <c r="BL571">
        <v>418.21</v>
      </c>
      <c r="BM571">
        <v>62.73</v>
      </c>
      <c r="BN571">
        <v>480.94</v>
      </c>
      <c r="BO571">
        <v>480.94</v>
      </c>
      <c r="BQ571" t="s">
        <v>97</v>
      </c>
      <c r="BR571" t="s">
        <v>82</v>
      </c>
      <c r="BS571" s="3">
        <v>45996</v>
      </c>
      <c r="BT571" s="4">
        <v>0.3923611111111111</v>
      </c>
      <c r="BU571" t="s">
        <v>98</v>
      </c>
      <c r="BV571" t="s">
        <v>84</v>
      </c>
      <c r="BY571">
        <v>30400</v>
      </c>
      <c r="CA571" t="s">
        <v>99</v>
      </c>
      <c r="CC571" t="s">
        <v>95</v>
      </c>
      <c r="CD571">
        <v>3610</v>
      </c>
      <c r="CE571" t="s">
        <v>93</v>
      </c>
      <c r="CF571" s="3">
        <v>45996</v>
      </c>
      <c r="CI571">
        <v>1</v>
      </c>
      <c r="CJ571">
        <v>1</v>
      </c>
      <c r="CK571">
        <v>21</v>
      </c>
      <c r="CL571" t="s">
        <v>87</v>
      </c>
    </row>
    <row r="572" spans="1:90" x14ac:dyDescent="0.3">
      <c r="A572" t="s">
        <v>72</v>
      </c>
      <c r="B572" t="s">
        <v>73</v>
      </c>
      <c r="C572" t="s">
        <v>74</v>
      </c>
      <c r="E572" t="str">
        <f>"080069675394"</f>
        <v>080069675394</v>
      </c>
      <c r="F572" s="3">
        <v>45995</v>
      </c>
      <c r="G572">
        <v>202609</v>
      </c>
      <c r="H572" t="s">
        <v>75</v>
      </c>
      <c r="I572" t="s">
        <v>76</v>
      </c>
      <c r="J572" t="s">
        <v>77</v>
      </c>
      <c r="K572" t="s">
        <v>78</v>
      </c>
      <c r="L572" t="s">
        <v>502</v>
      </c>
      <c r="M572" t="s">
        <v>503</v>
      </c>
      <c r="N572" t="s">
        <v>678</v>
      </c>
      <c r="O572" t="s">
        <v>89</v>
      </c>
      <c r="P572" t="str">
        <f>"4170071930                    "</f>
        <v xml:space="preserve">4170071930                    </v>
      </c>
      <c r="Q572">
        <v>0</v>
      </c>
      <c r="R572">
        <v>0</v>
      </c>
      <c r="S572">
        <v>0</v>
      </c>
      <c r="T572">
        <v>0</v>
      </c>
      <c r="U572">
        <v>0</v>
      </c>
      <c r="V572">
        <v>0</v>
      </c>
      <c r="W572">
        <v>0</v>
      </c>
      <c r="X572">
        <v>0</v>
      </c>
      <c r="Y572">
        <v>0</v>
      </c>
      <c r="Z572">
        <v>0</v>
      </c>
      <c r="AA572">
        <v>0</v>
      </c>
      <c r="AB572">
        <v>0</v>
      </c>
      <c r="AC572">
        <v>0</v>
      </c>
      <c r="AD572">
        <v>0</v>
      </c>
      <c r="AE572">
        <v>0</v>
      </c>
      <c r="AF572">
        <v>0</v>
      </c>
      <c r="AG572">
        <v>0</v>
      </c>
      <c r="AH572">
        <v>0</v>
      </c>
      <c r="AI572">
        <v>0</v>
      </c>
      <c r="AJ572">
        <v>0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19.940000000000001</v>
      </c>
      <c r="AR572">
        <v>0</v>
      </c>
      <c r="AS572">
        <v>0</v>
      </c>
      <c r="AT572">
        <v>0</v>
      </c>
      <c r="AU572">
        <v>0</v>
      </c>
      <c r="AV572">
        <v>0</v>
      </c>
      <c r="AW572">
        <v>0</v>
      </c>
      <c r="AX572">
        <v>0</v>
      </c>
      <c r="AY572">
        <v>0</v>
      </c>
      <c r="AZ572">
        <v>0</v>
      </c>
      <c r="BA572">
        <v>0</v>
      </c>
      <c r="BB572">
        <v>0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1</v>
      </c>
      <c r="BI572">
        <v>1</v>
      </c>
      <c r="BJ572">
        <v>1.7</v>
      </c>
      <c r="BK572">
        <v>2</v>
      </c>
      <c r="BL572">
        <v>59.42</v>
      </c>
      <c r="BM572">
        <v>8.91</v>
      </c>
      <c r="BN572">
        <v>68.33</v>
      </c>
      <c r="BO572">
        <v>68.33</v>
      </c>
      <c r="BQ572" t="s">
        <v>1222</v>
      </c>
      <c r="BR572" t="s">
        <v>82</v>
      </c>
      <c r="BS572" s="3">
        <v>45996</v>
      </c>
      <c r="BT572" s="4">
        <v>0.39583333333333331</v>
      </c>
      <c r="BU572" t="s">
        <v>1299</v>
      </c>
      <c r="BV572" t="s">
        <v>84</v>
      </c>
      <c r="BY572">
        <v>8473.08</v>
      </c>
      <c r="CA572" t="s">
        <v>507</v>
      </c>
      <c r="CC572" t="s">
        <v>503</v>
      </c>
      <c r="CD572">
        <v>1559</v>
      </c>
      <c r="CE572" t="s">
        <v>93</v>
      </c>
      <c r="CF572" s="3">
        <v>45996</v>
      </c>
      <c r="CI572">
        <v>1</v>
      </c>
      <c r="CJ572">
        <v>1</v>
      </c>
      <c r="CK572">
        <v>22</v>
      </c>
      <c r="CL572" t="s">
        <v>87</v>
      </c>
    </row>
    <row r="573" spans="1:90" x14ac:dyDescent="0.3">
      <c r="A573" t="s">
        <v>72</v>
      </c>
      <c r="B573" t="s">
        <v>73</v>
      </c>
      <c r="C573" t="s">
        <v>74</v>
      </c>
      <c r="E573" t="str">
        <f>"080069675464"</f>
        <v>080069675464</v>
      </c>
      <c r="F573" s="3">
        <v>45995</v>
      </c>
      <c r="G573">
        <v>202609</v>
      </c>
      <c r="H573" t="s">
        <v>75</v>
      </c>
      <c r="I573" t="s">
        <v>76</v>
      </c>
      <c r="J573" t="s">
        <v>77</v>
      </c>
      <c r="K573" t="s">
        <v>78</v>
      </c>
      <c r="L573" t="s">
        <v>75</v>
      </c>
      <c r="M573" t="s">
        <v>76</v>
      </c>
      <c r="N573" t="s">
        <v>79</v>
      </c>
      <c r="O573" t="s">
        <v>340</v>
      </c>
      <c r="P573" t="str">
        <f>"4170071754                    "</f>
        <v xml:space="preserve">4170071754                    </v>
      </c>
      <c r="Q573">
        <v>0</v>
      </c>
      <c r="R573">
        <v>0</v>
      </c>
      <c r="S573">
        <v>0</v>
      </c>
      <c r="T573">
        <v>0</v>
      </c>
      <c r="U573">
        <v>0</v>
      </c>
      <c r="V573">
        <v>0</v>
      </c>
      <c r="W573">
        <v>0</v>
      </c>
      <c r="X573">
        <v>0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0</v>
      </c>
      <c r="AE573">
        <v>0</v>
      </c>
      <c r="AF573">
        <v>0</v>
      </c>
      <c r="AG573">
        <v>0</v>
      </c>
      <c r="AH573">
        <v>0</v>
      </c>
      <c r="AI573">
        <v>0</v>
      </c>
      <c r="AJ573">
        <v>0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19.940000000000001</v>
      </c>
      <c r="AR573">
        <v>0</v>
      </c>
      <c r="AS573">
        <v>0</v>
      </c>
      <c r="AT573">
        <v>0</v>
      </c>
      <c r="AU573">
        <v>0</v>
      </c>
      <c r="AV573">
        <v>0</v>
      </c>
      <c r="AW573">
        <v>0</v>
      </c>
      <c r="AX573">
        <v>0</v>
      </c>
      <c r="AY573">
        <v>0</v>
      </c>
      <c r="AZ573">
        <v>0</v>
      </c>
      <c r="BA573">
        <v>0</v>
      </c>
      <c r="BB573">
        <v>0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1</v>
      </c>
      <c r="BI573">
        <v>4.5</v>
      </c>
      <c r="BJ573">
        <v>5.2</v>
      </c>
      <c r="BK573">
        <v>6</v>
      </c>
      <c r="BL573">
        <v>59.43</v>
      </c>
      <c r="BM573">
        <v>8.91</v>
      </c>
      <c r="BN573">
        <v>68.34</v>
      </c>
      <c r="BO573">
        <v>68.34</v>
      </c>
      <c r="BQ573" t="s">
        <v>81</v>
      </c>
      <c r="BR573" t="s">
        <v>82</v>
      </c>
      <c r="BS573" s="3">
        <v>45996</v>
      </c>
      <c r="BT573" s="4">
        <v>0.35138888888888886</v>
      </c>
      <c r="BU573" t="s">
        <v>83</v>
      </c>
      <c r="BV573" t="s">
        <v>84</v>
      </c>
      <c r="BY573">
        <v>26122.5</v>
      </c>
      <c r="CA573" t="s">
        <v>85</v>
      </c>
      <c r="CC573" t="s">
        <v>76</v>
      </c>
      <c r="CD573">
        <v>1619</v>
      </c>
      <c r="CE573" t="s">
        <v>86</v>
      </c>
      <c r="CF573" s="3">
        <v>45997</v>
      </c>
      <c r="CI573">
        <v>1</v>
      </c>
      <c r="CJ573">
        <v>1</v>
      </c>
      <c r="CK573">
        <v>32</v>
      </c>
      <c r="CL573" t="s">
        <v>87</v>
      </c>
    </row>
    <row r="574" spans="1:90" x14ac:dyDescent="0.3">
      <c r="A574" t="s">
        <v>72</v>
      </c>
      <c r="B574" t="s">
        <v>73</v>
      </c>
      <c r="C574" t="s">
        <v>74</v>
      </c>
      <c r="E574" t="str">
        <f>"080069675518"</f>
        <v>080069675518</v>
      </c>
      <c r="F574" s="3">
        <v>45995</v>
      </c>
      <c r="G574">
        <v>202609</v>
      </c>
      <c r="H574" t="s">
        <v>75</v>
      </c>
      <c r="I574" t="s">
        <v>76</v>
      </c>
      <c r="J574" t="s">
        <v>77</v>
      </c>
      <c r="K574" t="s">
        <v>78</v>
      </c>
      <c r="L574" t="s">
        <v>156</v>
      </c>
      <c r="M574" t="s">
        <v>157</v>
      </c>
      <c r="N574" t="s">
        <v>981</v>
      </c>
      <c r="O574" t="s">
        <v>89</v>
      </c>
      <c r="P574" t="str">
        <f>"4170071782                    "</f>
        <v xml:space="preserve">4170071782                    </v>
      </c>
      <c r="Q574">
        <v>0</v>
      </c>
      <c r="R574">
        <v>0</v>
      </c>
      <c r="S574">
        <v>0</v>
      </c>
      <c r="T574">
        <v>0</v>
      </c>
      <c r="U574">
        <v>0</v>
      </c>
      <c r="V574">
        <v>0</v>
      </c>
      <c r="W574">
        <v>0</v>
      </c>
      <c r="X574">
        <v>0</v>
      </c>
      <c r="Y574">
        <v>0</v>
      </c>
      <c r="Z574">
        <v>0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0</v>
      </c>
      <c r="AJ574">
        <v>0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25.52</v>
      </c>
      <c r="AR574">
        <v>0</v>
      </c>
      <c r="AS574">
        <v>0</v>
      </c>
      <c r="AT574">
        <v>0</v>
      </c>
      <c r="AU574">
        <v>0</v>
      </c>
      <c r="AV574">
        <v>0</v>
      </c>
      <c r="AW574">
        <v>0</v>
      </c>
      <c r="AX574">
        <v>0</v>
      </c>
      <c r="AY574">
        <v>0</v>
      </c>
      <c r="AZ574">
        <v>0</v>
      </c>
      <c r="BA574">
        <v>0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1</v>
      </c>
      <c r="BI574">
        <v>1</v>
      </c>
      <c r="BJ574">
        <v>1.4</v>
      </c>
      <c r="BK574">
        <v>1.5</v>
      </c>
      <c r="BL574">
        <v>76.06</v>
      </c>
      <c r="BM574">
        <v>11.41</v>
      </c>
      <c r="BN574">
        <v>87.47</v>
      </c>
      <c r="BO574">
        <v>87.47</v>
      </c>
      <c r="BQ574" t="s">
        <v>982</v>
      </c>
      <c r="BR574" t="s">
        <v>82</v>
      </c>
      <c r="BS574" s="3">
        <v>45996</v>
      </c>
      <c r="BT574" s="4">
        <v>0.48055555555555557</v>
      </c>
      <c r="BU574" t="s">
        <v>1300</v>
      </c>
      <c r="BV574" t="s">
        <v>87</v>
      </c>
      <c r="BW574" t="s">
        <v>153</v>
      </c>
      <c r="BX574" t="s">
        <v>996</v>
      </c>
      <c r="BY574">
        <v>7000</v>
      </c>
      <c r="CA574" t="s">
        <v>1264</v>
      </c>
      <c r="CC574" t="s">
        <v>157</v>
      </c>
      <c r="CD574">
        <v>7441</v>
      </c>
      <c r="CE574" t="s">
        <v>86</v>
      </c>
      <c r="CF574" s="3">
        <v>45999</v>
      </c>
      <c r="CI574">
        <v>1</v>
      </c>
      <c r="CJ574">
        <v>1</v>
      </c>
      <c r="CK574">
        <v>21</v>
      </c>
      <c r="CL574" t="s">
        <v>87</v>
      </c>
    </row>
    <row r="575" spans="1:90" x14ac:dyDescent="0.3">
      <c r="A575" t="s">
        <v>72</v>
      </c>
      <c r="B575" t="s">
        <v>73</v>
      </c>
      <c r="C575" t="s">
        <v>74</v>
      </c>
      <c r="E575" t="str">
        <f>"080069675584"</f>
        <v>080069675584</v>
      </c>
      <c r="F575" s="3">
        <v>45995</v>
      </c>
      <c r="G575">
        <v>202609</v>
      </c>
      <c r="H575" t="s">
        <v>75</v>
      </c>
      <c r="I575" t="s">
        <v>76</v>
      </c>
      <c r="J575" t="s">
        <v>77</v>
      </c>
      <c r="K575" t="s">
        <v>78</v>
      </c>
      <c r="L575" t="s">
        <v>535</v>
      </c>
      <c r="M575" t="s">
        <v>535</v>
      </c>
      <c r="N575" t="s">
        <v>1030</v>
      </c>
      <c r="O575" t="s">
        <v>89</v>
      </c>
      <c r="P575" t="str">
        <f>"4170071824                    "</f>
        <v xml:space="preserve">4170071824                    </v>
      </c>
      <c r="Q575">
        <v>0</v>
      </c>
      <c r="R575">
        <v>0</v>
      </c>
      <c r="S575">
        <v>0</v>
      </c>
      <c r="T575">
        <v>0</v>
      </c>
      <c r="U575">
        <v>0</v>
      </c>
      <c r="V575">
        <v>0</v>
      </c>
      <c r="W575">
        <v>0</v>
      </c>
      <c r="X575">
        <v>0</v>
      </c>
      <c r="Y575">
        <v>0</v>
      </c>
      <c r="Z575">
        <v>0</v>
      </c>
      <c r="AA575">
        <v>0</v>
      </c>
      <c r="AB575">
        <v>0</v>
      </c>
      <c r="AC575">
        <v>0</v>
      </c>
      <c r="AD575">
        <v>0</v>
      </c>
      <c r="AE575">
        <v>0</v>
      </c>
      <c r="AF575">
        <v>0</v>
      </c>
      <c r="AG575">
        <v>0</v>
      </c>
      <c r="AH575">
        <v>0</v>
      </c>
      <c r="AI575">
        <v>0</v>
      </c>
      <c r="AJ575">
        <v>0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49.45</v>
      </c>
      <c r="AR575">
        <v>0</v>
      </c>
      <c r="AS575">
        <v>0</v>
      </c>
      <c r="AT575">
        <v>0</v>
      </c>
      <c r="AU575">
        <v>0</v>
      </c>
      <c r="AV575">
        <v>0</v>
      </c>
      <c r="AW575">
        <v>0</v>
      </c>
      <c r="AX575">
        <v>0</v>
      </c>
      <c r="AY575">
        <v>0</v>
      </c>
      <c r="AZ575">
        <v>0</v>
      </c>
      <c r="BA575">
        <v>0</v>
      </c>
      <c r="BB575">
        <v>0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1</v>
      </c>
      <c r="BI575">
        <v>1</v>
      </c>
      <c r="BJ575">
        <v>1.9</v>
      </c>
      <c r="BK575">
        <v>2</v>
      </c>
      <c r="BL575">
        <v>147.38</v>
      </c>
      <c r="BM575">
        <v>22.11</v>
      </c>
      <c r="BN575">
        <v>169.49</v>
      </c>
      <c r="BO575">
        <v>169.49</v>
      </c>
      <c r="BQ575" t="s">
        <v>1031</v>
      </c>
      <c r="BR575" t="s">
        <v>82</v>
      </c>
      <c r="BS575" s="3">
        <v>45996</v>
      </c>
      <c r="BT575" s="4">
        <v>0.72986111111111107</v>
      </c>
      <c r="BU575" t="s">
        <v>1032</v>
      </c>
      <c r="BV575" t="s">
        <v>87</v>
      </c>
      <c r="BW575" t="s">
        <v>153</v>
      </c>
      <c r="BX575" t="s">
        <v>345</v>
      </c>
      <c r="BY575">
        <v>9600</v>
      </c>
      <c r="CA575" t="s">
        <v>539</v>
      </c>
      <c r="CC575" t="s">
        <v>535</v>
      </c>
      <c r="CD575">
        <v>7646</v>
      </c>
      <c r="CE575" t="s">
        <v>86</v>
      </c>
      <c r="CF575" s="3">
        <v>45999</v>
      </c>
      <c r="CI575">
        <v>1</v>
      </c>
      <c r="CJ575">
        <v>1</v>
      </c>
      <c r="CK575">
        <v>23</v>
      </c>
      <c r="CL575" t="s">
        <v>87</v>
      </c>
    </row>
    <row r="576" spans="1:90" x14ac:dyDescent="0.3">
      <c r="A576" t="s">
        <v>72</v>
      </c>
      <c r="B576" t="s">
        <v>73</v>
      </c>
      <c r="C576" t="s">
        <v>74</v>
      </c>
      <c r="E576" t="str">
        <f>"080069675646"</f>
        <v>080069675646</v>
      </c>
      <c r="F576" s="3">
        <v>45995</v>
      </c>
      <c r="G576">
        <v>202609</v>
      </c>
      <c r="H576" t="s">
        <v>75</v>
      </c>
      <c r="I576" t="s">
        <v>76</v>
      </c>
      <c r="J576" t="s">
        <v>77</v>
      </c>
      <c r="K576" t="s">
        <v>78</v>
      </c>
      <c r="L576" t="s">
        <v>241</v>
      </c>
      <c r="M576" t="s">
        <v>242</v>
      </c>
      <c r="N576" t="s">
        <v>243</v>
      </c>
      <c r="O576" t="s">
        <v>89</v>
      </c>
      <c r="P576" t="str">
        <f>"4170071932                    "</f>
        <v xml:space="preserve">4170071932                    </v>
      </c>
      <c r="Q576">
        <v>0</v>
      </c>
      <c r="R576">
        <v>0</v>
      </c>
      <c r="S576">
        <v>0</v>
      </c>
      <c r="T576">
        <v>0</v>
      </c>
      <c r="U576">
        <v>0</v>
      </c>
      <c r="V576">
        <v>0</v>
      </c>
      <c r="W576">
        <v>0</v>
      </c>
      <c r="X576">
        <v>0</v>
      </c>
      <c r="Y576">
        <v>0</v>
      </c>
      <c r="Z576">
        <v>0</v>
      </c>
      <c r="AA576">
        <v>0</v>
      </c>
      <c r="AB576">
        <v>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0</v>
      </c>
      <c r="AJ576">
        <v>0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0</v>
      </c>
      <c r="AQ576">
        <v>25.52</v>
      </c>
      <c r="AR576">
        <v>0</v>
      </c>
      <c r="AS576">
        <v>0</v>
      </c>
      <c r="AT576">
        <v>0</v>
      </c>
      <c r="AU576">
        <v>0</v>
      </c>
      <c r="AV576">
        <v>0</v>
      </c>
      <c r="AW576">
        <v>0</v>
      </c>
      <c r="AX576">
        <v>0</v>
      </c>
      <c r="AY576">
        <v>0</v>
      </c>
      <c r="AZ576">
        <v>0</v>
      </c>
      <c r="BA576">
        <v>0</v>
      </c>
      <c r="BB576">
        <v>0</v>
      </c>
      <c r="BC576">
        <v>0</v>
      </c>
      <c r="BD576">
        <v>0</v>
      </c>
      <c r="BE576">
        <v>0</v>
      </c>
      <c r="BF576">
        <v>0</v>
      </c>
      <c r="BG576">
        <v>0</v>
      </c>
      <c r="BH576">
        <v>1</v>
      </c>
      <c r="BI576">
        <v>2</v>
      </c>
      <c r="BJ576">
        <v>1.1000000000000001</v>
      </c>
      <c r="BK576">
        <v>2</v>
      </c>
      <c r="BL576">
        <v>76.06</v>
      </c>
      <c r="BM576">
        <v>11.41</v>
      </c>
      <c r="BN576">
        <v>87.47</v>
      </c>
      <c r="BO576">
        <v>87.47</v>
      </c>
      <c r="BQ576" t="s">
        <v>244</v>
      </c>
      <c r="BR576" t="s">
        <v>82</v>
      </c>
      <c r="BS576" s="3">
        <v>45996</v>
      </c>
      <c r="BT576" s="4">
        <v>0.41666666666666669</v>
      </c>
      <c r="BU576" t="s">
        <v>1301</v>
      </c>
      <c r="BV576" t="s">
        <v>84</v>
      </c>
      <c r="BY576">
        <v>5510</v>
      </c>
      <c r="CA576" t="s">
        <v>1225</v>
      </c>
      <c r="CC576" t="s">
        <v>242</v>
      </c>
      <c r="CD576">
        <v>4302</v>
      </c>
      <c r="CE576" t="s">
        <v>86</v>
      </c>
      <c r="CF576" s="3">
        <v>45997</v>
      </c>
      <c r="CI576">
        <v>1</v>
      </c>
      <c r="CJ576">
        <v>1</v>
      </c>
      <c r="CK576">
        <v>21</v>
      </c>
      <c r="CL576" t="s">
        <v>87</v>
      </c>
    </row>
    <row r="577" spans="1:90" x14ac:dyDescent="0.3">
      <c r="A577" t="s">
        <v>72</v>
      </c>
      <c r="B577" t="s">
        <v>73</v>
      </c>
      <c r="C577" t="s">
        <v>74</v>
      </c>
      <c r="E577" t="str">
        <f>"080069675704"</f>
        <v>080069675704</v>
      </c>
      <c r="F577" s="3">
        <v>45995</v>
      </c>
      <c r="G577">
        <v>202609</v>
      </c>
      <c r="H577" t="s">
        <v>75</v>
      </c>
      <c r="I577" t="s">
        <v>76</v>
      </c>
      <c r="J577" t="s">
        <v>77</v>
      </c>
      <c r="K577" t="s">
        <v>78</v>
      </c>
      <c r="L577" t="s">
        <v>241</v>
      </c>
      <c r="M577" t="s">
        <v>242</v>
      </c>
      <c r="N577" t="s">
        <v>243</v>
      </c>
      <c r="O577" t="s">
        <v>89</v>
      </c>
      <c r="P577" t="str">
        <f>"4170071934                    "</f>
        <v xml:space="preserve">4170071934                    </v>
      </c>
      <c r="Q577">
        <v>0</v>
      </c>
      <c r="R577">
        <v>0</v>
      </c>
      <c r="S577">
        <v>0</v>
      </c>
      <c r="T577">
        <v>0</v>
      </c>
      <c r="U577">
        <v>0</v>
      </c>
      <c r="V577">
        <v>0</v>
      </c>
      <c r="W577">
        <v>0</v>
      </c>
      <c r="X577">
        <v>0</v>
      </c>
      <c r="Y577">
        <v>0</v>
      </c>
      <c r="Z577">
        <v>0</v>
      </c>
      <c r="AA577">
        <v>0</v>
      </c>
      <c r="AB577">
        <v>0</v>
      </c>
      <c r="AC577">
        <v>0</v>
      </c>
      <c r="AD577">
        <v>0</v>
      </c>
      <c r="AE577">
        <v>0</v>
      </c>
      <c r="AF577">
        <v>0</v>
      </c>
      <c r="AG577">
        <v>0</v>
      </c>
      <c r="AH577">
        <v>0</v>
      </c>
      <c r="AI577">
        <v>0</v>
      </c>
      <c r="AJ577">
        <v>0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38.28</v>
      </c>
      <c r="AR577">
        <v>0</v>
      </c>
      <c r="AS577">
        <v>0</v>
      </c>
      <c r="AT577">
        <v>0</v>
      </c>
      <c r="AU577">
        <v>0</v>
      </c>
      <c r="AV577">
        <v>0</v>
      </c>
      <c r="AW577">
        <v>0</v>
      </c>
      <c r="AX577">
        <v>0</v>
      </c>
      <c r="AY577">
        <v>0</v>
      </c>
      <c r="AZ577">
        <v>0</v>
      </c>
      <c r="BA577">
        <v>0</v>
      </c>
      <c r="BB577">
        <v>0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1</v>
      </c>
      <c r="BI577">
        <v>3</v>
      </c>
      <c r="BJ577">
        <v>1.9</v>
      </c>
      <c r="BK577">
        <v>3</v>
      </c>
      <c r="BL577">
        <v>114.08</v>
      </c>
      <c r="BM577">
        <v>17.11</v>
      </c>
      <c r="BN577">
        <v>131.19</v>
      </c>
      <c r="BO577">
        <v>131.19</v>
      </c>
      <c r="BQ577" t="s">
        <v>244</v>
      </c>
      <c r="BR577" t="s">
        <v>82</v>
      </c>
      <c r="BS577" s="3">
        <v>45996</v>
      </c>
      <c r="BT577" s="4">
        <v>0.4513888888888889</v>
      </c>
      <c r="BU577" t="s">
        <v>1301</v>
      </c>
      <c r="BV577" t="s">
        <v>87</v>
      </c>
      <c r="BW577" t="s">
        <v>246</v>
      </c>
      <c r="BX577" t="s">
        <v>294</v>
      </c>
      <c r="BY577">
        <v>9600</v>
      </c>
      <c r="CA577" t="s">
        <v>1225</v>
      </c>
      <c r="CC577" t="s">
        <v>242</v>
      </c>
      <c r="CD577">
        <v>4302</v>
      </c>
      <c r="CE577" t="s">
        <v>86</v>
      </c>
      <c r="CF577" s="3">
        <v>45997</v>
      </c>
      <c r="CI577">
        <v>1</v>
      </c>
      <c r="CJ577">
        <v>1</v>
      </c>
      <c r="CK577">
        <v>21</v>
      </c>
      <c r="CL577" t="s">
        <v>87</v>
      </c>
    </row>
    <row r="578" spans="1:90" x14ac:dyDescent="0.3">
      <c r="A578" t="s">
        <v>72</v>
      </c>
      <c r="B578" t="s">
        <v>73</v>
      </c>
      <c r="C578" t="s">
        <v>74</v>
      </c>
      <c r="E578" t="str">
        <f>"080069675745"</f>
        <v>080069675745</v>
      </c>
      <c r="F578" s="3">
        <v>45995</v>
      </c>
      <c r="G578">
        <v>202609</v>
      </c>
      <c r="H578" t="s">
        <v>75</v>
      </c>
      <c r="I578" t="s">
        <v>76</v>
      </c>
      <c r="J578" t="s">
        <v>77</v>
      </c>
      <c r="K578" t="s">
        <v>78</v>
      </c>
      <c r="L578" t="s">
        <v>141</v>
      </c>
      <c r="M578" t="s">
        <v>142</v>
      </c>
      <c r="N578" t="s">
        <v>568</v>
      </c>
      <c r="O578" t="s">
        <v>89</v>
      </c>
      <c r="P578" t="str">
        <f>"4170071851                    "</f>
        <v xml:space="preserve">4170071851                    </v>
      </c>
      <c r="Q578">
        <v>0</v>
      </c>
      <c r="R578">
        <v>0</v>
      </c>
      <c r="S578">
        <v>0</v>
      </c>
      <c r="T578">
        <v>0</v>
      </c>
      <c r="U578">
        <v>0</v>
      </c>
      <c r="V578">
        <v>0</v>
      </c>
      <c r="W578">
        <v>0</v>
      </c>
      <c r="X578">
        <v>0</v>
      </c>
      <c r="Y578">
        <v>0</v>
      </c>
      <c r="Z578">
        <v>0</v>
      </c>
      <c r="AA578">
        <v>0</v>
      </c>
      <c r="AB578">
        <v>0</v>
      </c>
      <c r="AC578">
        <v>0</v>
      </c>
      <c r="AD578">
        <v>0</v>
      </c>
      <c r="AE578">
        <v>0</v>
      </c>
      <c r="AF578">
        <v>0</v>
      </c>
      <c r="AG578">
        <v>0</v>
      </c>
      <c r="AH578">
        <v>0</v>
      </c>
      <c r="AI578">
        <v>0</v>
      </c>
      <c r="AJ578">
        <v>0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25.52</v>
      </c>
      <c r="AR578">
        <v>0</v>
      </c>
      <c r="AS578">
        <v>0</v>
      </c>
      <c r="AT578">
        <v>0</v>
      </c>
      <c r="AU578">
        <v>0</v>
      </c>
      <c r="AV578">
        <v>0</v>
      </c>
      <c r="AW578">
        <v>0</v>
      </c>
      <c r="AX578">
        <v>0</v>
      </c>
      <c r="AY578">
        <v>0</v>
      </c>
      <c r="AZ578">
        <v>0</v>
      </c>
      <c r="BA578">
        <v>0</v>
      </c>
      <c r="BB578">
        <v>0</v>
      </c>
      <c r="BC578">
        <v>0</v>
      </c>
      <c r="BD578">
        <v>0</v>
      </c>
      <c r="BE578">
        <v>0</v>
      </c>
      <c r="BF578">
        <v>0</v>
      </c>
      <c r="BG578">
        <v>0</v>
      </c>
      <c r="BH578">
        <v>1</v>
      </c>
      <c r="BI578">
        <v>1</v>
      </c>
      <c r="BJ578">
        <v>0.7</v>
      </c>
      <c r="BK578">
        <v>1</v>
      </c>
      <c r="BL578">
        <v>76.06</v>
      </c>
      <c r="BM578">
        <v>11.41</v>
      </c>
      <c r="BN578">
        <v>87.47</v>
      </c>
      <c r="BO578">
        <v>87.47</v>
      </c>
      <c r="BQ578" t="s">
        <v>569</v>
      </c>
      <c r="BR578" t="s">
        <v>82</v>
      </c>
      <c r="BS578" s="3">
        <v>45996</v>
      </c>
      <c r="BT578" s="4">
        <v>0.42708333333333331</v>
      </c>
      <c r="BU578" t="s">
        <v>1172</v>
      </c>
      <c r="BV578" t="s">
        <v>84</v>
      </c>
      <c r="BY578">
        <v>3306</v>
      </c>
      <c r="CA578" t="s">
        <v>571</v>
      </c>
      <c r="CC578" t="s">
        <v>142</v>
      </c>
      <c r="CD578">
        <v>6056</v>
      </c>
      <c r="CE578" t="s">
        <v>86</v>
      </c>
      <c r="CF578" s="3">
        <v>46002</v>
      </c>
      <c r="CI578">
        <v>1</v>
      </c>
      <c r="CJ578">
        <v>1</v>
      </c>
      <c r="CK578">
        <v>21</v>
      </c>
      <c r="CL578" t="s">
        <v>87</v>
      </c>
    </row>
    <row r="579" spans="1:90" x14ac:dyDescent="0.3">
      <c r="A579" t="s">
        <v>72</v>
      </c>
      <c r="B579" t="s">
        <v>73</v>
      </c>
      <c r="C579" t="s">
        <v>74</v>
      </c>
      <c r="E579" t="str">
        <f>"080069675799"</f>
        <v>080069675799</v>
      </c>
      <c r="F579" s="3">
        <v>45995</v>
      </c>
      <c r="G579">
        <v>202609</v>
      </c>
      <c r="H579" t="s">
        <v>75</v>
      </c>
      <c r="I579" t="s">
        <v>76</v>
      </c>
      <c r="J579" t="s">
        <v>77</v>
      </c>
      <c r="K579" t="s">
        <v>78</v>
      </c>
      <c r="L579" t="s">
        <v>75</v>
      </c>
      <c r="M579" t="s">
        <v>76</v>
      </c>
      <c r="N579" t="s">
        <v>79</v>
      </c>
      <c r="O579" t="s">
        <v>340</v>
      </c>
      <c r="P579" t="str">
        <f>"4170071900                    "</f>
        <v xml:space="preserve">4170071900                    </v>
      </c>
      <c r="Q579">
        <v>0</v>
      </c>
      <c r="R579">
        <v>0</v>
      </c>
      <c r="S579">
        <v>0</v>
      </c>
      <c r="T579">
        <v>0</v>
      </c>
      <c r="U579">
        <v>0</v>
      </c>
      <c r="V579">
        <v>0</v>
      </c>
      <c r="W579">
        <v>0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0</v>
      </c>
      <c r="AD579">
        <v>0</v>
      </c>
      <c r="AE579">
        <v>0</v>
      </c>
      <c r="AF579">
        <v>0</v>
      </c>
      <c r="AG579">
        <v>0</v>
      </c>
      <c r="AH579">
        <v>0</v>
      </c>
      <c r="AI579">
        <v>0</v>
      </c>
      <c r="AJ579">
        <v>0</v>
      </c>
      <c r="AK579">
        <v>0</v>
      </c>
      <c r="AL579">
        <v>0</v>
      </c>
      <c r="AM579">
        <v>0</v>
      </c>
      <c r="AN579">
        <v>0</v>
      </c>
      <c r="AO579">
        <v>0</v>
      </c>
      <c r="AP579">
        <v>0</v>
      </c>
      <c r="AQ579">
        <v>22.18</v>
      </c>
      <c r="AR579">
        <v>0</v>
      </c>
      <c r="AS579">
        <v>0</v>
      </c>
      <c r="AT579">
        <v>0</v>
      </c>
      <c r="AU579">
        <v>0</v>
      </c>
      <c r="AV579">
        <v>0</v>
      </c>
      <c r="AW579">
        <v>0</v>
      </c>
      <c r="AX579">
        <v>0</v>
      </c>
      <c r="AY579">
        <v>0</v>
      </c>
      <c r="AZ579">
        <v>0</v>
      </c>
      <c r="BA579">
        <v>0</v>
      </c>
      <c r="BB579">
        <v>0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1</v>
      </c>
      <c r="BI579">
        <v>8.9</v>
      </c>
      <c r="BJ579">
        <v>3.8</v>
      </c>
      <c r="BK579">
        <v>9</v>
      </c>
      <c r="BL579">
        <v>66.099999999999994</v>
      </c>
      <c r="BM579">
        <v>9.92</v>
      </c>
      <c r="BN579">
        <v>76.02</v>
      </c>
      <c r="BO579">
        <v>76.02</v>
      </c>
      <c r="BQ579" t="s">
        <v>81</v>
      </c>
      <c r="BR579" t="s">
        <v>82</v>
      </c>
      <c r="BS579" s="3">
        <v>45996</v>
      </c>
      <c r="BT579" s="4">
        <v>0.34722222222222221</v>
      </c>
      <c r="BU579" t="s">
        <v>83</v>
      </c>
      <c r="BV579" t="s">
        <v>84</v>
      </c>
      <c r="BY579">
        <v>19040.25</v>
      </c>
      <c r="CA579" t="s">
        <v>85</v>
      </c>
      <c r="CC579" t="s">
        <v>76</v>
      </c>
      <c r="CD579">
        <v>1619</v>
      </c>
      <c r="CE579" t="s">
        <v>93</v>
      </c>
      <c r="CF579" s="3">
        <v>45997</v>
      </c>
      <c r="CI579">
        <v>1</v>
      </c>
      <c r="CJ579">
        <v>1</v>
      </c>
      <c r="CK579">
        <v>32</v>
      </c>
      <c r="CL579" t="s">
        <v>87</v>
      </c>
    </row>
    <row r="580" spans="1:90" x14ac:dyDescent="0.3">
      <c r="A580" t="s">
        <v>72</v>
      </c>
      <c r="B580" t="s">
        <v>73</v>
      </c>
      <c r="C580" t="s">
        <v>74</v>
      </c>
      <c r="E580" t="str">
        <f>"080069675824"</f>
        <v>080069675824</v>
      </c>
      <c r="F580" s="3">
        <v>45995</v>
      </c>
      <c r="G580">
        <v>202609</v>
      </c>
      <c r="H580" t="s">
        <v>75</v>
      </c>
      <c r="I580" t="s">
        <v>76</v>
      </c>
      <c r="J580" t="s">
        <v>77</v>
      </c>
      <c r="K580" t="s">
        <v>78</v>
      </c>
      <c r="L580" t="s">
        <v>109</v>
      </c>
      <c r="M580" t="s">
        <v>110</v>
      </c>
      <c r="N580" t="s">
        <v>1302</v>
      </c>
      <c r="O580" t="s">
        <v>89</v>
      </c>
      <c r="P580" t="str">
        <f>"4170071778                    "</f>
        <v xml:space="preserve">4170071778                    </v>
      </c>
      <c r="Q580">
        <v>0</v>
      </c>
      <c r="R580">
        <v>0</v>
      </c>
      <c r="S580">
        <v>0</v>
      </c>
      <c r="T580">
        <v>0</v>
      </c>
      <c r="U580">
        <v>0</v>
      </c>
      <c r="V580">
        <v>0</v>
      </c>
      <c r="W580">
        <v>0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0</v>
      </c>
      <c r="AD580">
        <v>0</v>
      </c>
      <c r="AE580">
        <v>0</v>
      </c>
      <c r="AF580">
        <v>0</v>
      </c>
      <c r="AG580">
        <v>0</v>
      </c>
      <c r="AH580">
        <v>0</v>
      </c>
      <c r="AI580">
        <v>0</v>
      </c>
      <c r="AJ580">
        <v>0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35.9</v>
      </c>
      <c r="AR580">
        <v>0</v>
      </c>
      <c r="AS580">
        <v>0</v>
      </c>
      <c r="AT580">
        <v>0</v>
      </c>
      <c r="AU580">
        <v>0</v>
      </c>
      <c r="AV580">
        <v>0</v>
      </c>
      <c r="AW580">
        <v>0</v>
      </c>
      <c r="AX580">
        <v>0</v>
      </c>
      <c r="AY580">
        <v>0</v>
      </c>
      <c r="AZ580">
        <v>0</v>
      </c>
      <c r="BA580">
        <v>0</v>
      </c>
      <c r="BB580">
        <v>0</v>
      </c>
      <c r="BC580">
        <v>0</v>
      </c>
      <c r="BD580">
        <v>0</v>
      </c>
      <c r="BE580">
        <v>0</v>
      </c>
      <c r="BF580">
        <v>0</v>
      </c>
      <c r="BG580">
        <v>0</v>
      </c>
      <c r="BH580">
        <v>1</v>
      </c>
      <c r="BI580">
        <v>1.3</v>
      </c>
      <c r="BJ580">
        <v>0.8</v>
      </c>
      <c r="BK580">
        <v>1.5</v>
      </c>
      <c r="BL580">
        <v>106.98</v>
      </c>
      <c r="BM580">
        <v>16.05</v>
      </c>
      <c r="BN580">
        <v>123.03</v>
      </c>
      <c r="BO580">
        <v>123.03</v>
      </c>
      <c r="BQ580" t="s">
        <v>1303</v>
      </c>
      <c r="BR580" t="s">
        <v>82</v>
      </c>
      <c r="BS580" s="3">
        <v>45996</v>
      </c>
      <c r="BT580" s="4">
        <v>0.43958333333333333</v>
      </c>
      <c r="BU580" t="s">
        <v>1304</v>
      </c>
      <c r="BV580" t="s">
        <v>84</v>
      </c>
      <c r="BY580">
        <v>4027.17</v>
      </c>
      <c r="CA580" t="s">
        <v>1305</v>
      </c>
      <c r="CC580" t="s">
        <v>110</v>
      </c>
      <c r="CD580">
        <v>1756</v>
      </c>
      <c r="CE580" t="s">
        <v>86</v>
      </c>
      <c r="CF580" s="3">
        <v>45996</v>
      </c>
      <c r="CI580">
        <v>1</v>
      </c>
      <c r="CJ580">
        <v>1</v>
      </c>
      <c r="CK580">
        <v>24</v>
      </c>
      <c r="CL580" t="s">
        <v>87</v>
      </c>
    </row>
    <row r="581" spans="1:90" x14ac:dyDescent="0.3">
      <c r="A581" t="s">
        <v>72</v>
      </c>
      <c r="B581" t="s">
        <v>73</v>
      </c>
      <c r="C581" t="s">
        <v>74</v>
      </c>
      <c r="E581" t="str">
        <f>"080069675858"</f>
        <v>080069675858</v>
      </c>
      <c r="F581" s="3">
        <v>45995</v>
      </c>
      <c r="G581">
        <v>202609</v>
      </c>
      <c r="H581" t="s">
        <v>75</v>
      </c>
      <c r="I581" t="s">
        <v>76</v>
      </c>
      <c r="J581" t="s">
        <v>77</v>
      </c>
      <c r="K581" t="s">
        <v>78</v>
      </c>
      <c r="L581" t="s">
        <v>94</v>
      </c>
      <c r="M581" t="s">
        <v>95</v>
      </c>
      <c r="N581" t="s">
        <v>936</v>
      </c>
      <c r="O581" t="s">
        <v>89</v>
      </c>
      <c r="P581" t="str">
        <f>"4170071821                    "</f>
        <v xml:space="preserve">4170071821                    </v>
      </c>
      <c r="Q581">
        <v>0</v>
      </c>
      <c r="R581">
        <v>0</v>
      </c>
      <c r="S581">
        <v>0</v>
      </c>
      <c r="T581">
        <v>0</v>
      </c>
      <c r="U581">
        <v>0</v>
      </c>
      <c r="V581">
        <v>0</v>
      </c>
      <c r="W581">
        <v>0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0</v>
      </c>
      <c r="AD581">
        <v>0</v>
      </c>
      <c r="AE581">
        <v>0</v>
      </c>
      <c r="AF581">
        <v>0</v>
      </c>
      <c r="AG581">
        <v>0</v>
      </c>
      <c r="AH581">
        <v>0</v>
      </c>
      <c r="AI581">
        <v>0</v>
      </c>
      <c r="AJ581">
        <v>0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25.52</v>
      </c>
      <c r="AR581">
        <v>0</v>
      </c>
      <c r="AS581">
        <v>0</v>
      </c>
      <c r="AT581">
        <v>0</v>
      </c>
      <c r="AU581">
        <v>0</v>
      </c>
      <c r="AV581">
        <v>0</v>
      </c>
      <c r="AW581">
        <v>0</v>
      </c>
      <c r="AX581">
        <v>0</v>
      </c>
      <c r="AY581">
        <v>0</v>
      </c>
      <c r="AZ581">
        <v>0</v>
      </c>
      <c r="BA581">
        <v>0</v>
      </c>
      <c r="BB581">
        <v>0</v>
      </c>
      <c r="BC581">
        <v>0</v>
      </c>
      <c r="BD581">
        <v>0</v>
      </c>
      <c r="BE581">
        <v>0</v>
      </c>
      <c r="BF581">
        <v>0</v>
      </c>
      <c r="BG581">
        <v>0</v>
      </c>
      <c r="BH581">
        <v>1</v>
      </c>
      <c r="BI581">
        <v>2</v>
      </c>
      <c r="BJ581">
        <v>1.4</v>
      </c>
      <c r="BK581">
        <v>2</v>
      </c>
      <c r="BL581">
        <v>76.06</v>
      </c>
      <c r="BM581">
        <v>11.41</v>
      </c>
      <c r="BN581">
        <v>87.47</v>
      </c>
      <c r="BO581">
        <v>87.47</v>
      </c>
      <c r="BQ581" t="s">
        <v>937</v>
      </c>
      <c r="BR581" t="s">
        <v>82</v>
      </c>
      <c r="BS581" s="3">
        <v>45996</v>
      </c>
      <c r="BT581" s="4">
        <v>0.40833333333333333</v>
      </c>
      <c r="BU581" t="s">
        <v>1306</v>
      </c>
      <c r="BV581" t="s">
        <v>84</v>
      </c>
      <c r="BY581">
        <v>7000</v>
      </c>
      <c r="CA581" t="s">
        <v>1191</v>
      </c>
      <c r="CC581" t="s">
        <v>95</v>
      </c>
      <c r="CD581">
        <v>3610</v>
      </c>
      <c r="CE581" t="s">
        <v>86</v>
      </c>
      <c r="CF581" s="3">
        <v>45997</v>
      </c>
      <c r="CI581">
        <v>1</v>
      </c>
      <c r="CJ581">
        <v>1</v>
      </c>
      <c r="CK581">
        <v>21</v>
      </c>
      <c r="CL581" t="s">
        <v>87</v>
      </c>
    </row>
    <row r="582" spans="1:90" x14ac:dyDescent="0.3">
      <c r="A582" t="s">
        <v>72</v>
      </c>
      <c r="B582" t="s">
        <v>73</v>
      </c>
      <c r="C582" t="s">
        <v>74</v>
      </c>
      <c r="E582" t="str">
        <f>"080069675896"</f>
        <v>080069675896</v>
      </c>
      <c r="F582" s="3">
        <v>45995</v>
      </c>
      <c r="G582">
        <v>202609</v>
      </c>
      <c r="H582" t="s">
        <v>75</v>
      </c>
      <c r="I582" t="s">
        <v>76</v>
      </c>
      <c r="J582" t="s">
        <v>77</v>
      </c>
      <c r="K582" t="s">
        <v>78</v>
      </c>
      <c r="L582" t="s">
        <v>156</v>
      </c>
      <c r="M582" t="s">
        <v>157</v>
      </c>
      <c r="N582" t="s">
        <v>508</v>
      </c>
      <c r="O582" t="s">
        <v>89</v>
      </c>
      <c r="P582" t="str">
        <f>"4170071831                    "</f>
        <v xml:space="preserve">4170071831                    </v>
      </c>
      <c r="Q582">
        <v>0</v>
      </c>
      <c r="R582">
        <v>0</v>
      </c>
      <c r="S582">
        <v>0</v>
      </c>
      <c r="T582">
        <v>0</v>
      </c>
      <c r="U582">
        <v>0</v>
      </c>
      <c r="V582">
        <v>0</v>
      </c>
      <c r="W582">
        <v>0</v>
      </c>
      <c r="X582">
        <v>0</v>
      </c>
      <c r="Y582">
        <v>0</v>
      </c>
      <c r="Z582">
        <v>0</v>
      </c>
      <c r="AA582">
        <v>0</v>
      </c>
      <c r="AB582">
        <v>0</v>
      </c>
      <c r="AC582">
        <v>0</v>
      </c>
      <c r="AD582">
        <v>0</v>
      </c>
      <c r="AE582">
        <v>0</v>
      </c>
      <c r="AF582">
        <v>0</v>
      </c>
      <c r="AG582">
        <v>0</v>
      </c>
      <c r="AH582">
        <v>0</v>
      </c>
      <c r="AI582">
        <v>0</v>
      </c>
      <c r="AJ582">
        <v>0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25.52</v>
      </c>
      <c r="AR582">
        <v>0</v>
      </c>
      <c r="AS582">
        <v>0</v>
      </c>
      <c r="AT582">
        <v>0</v>
      </c>
      <c r="AU582">
        <v>0</v>
      </c>
      <c r="AV582">
        <v>0</v>
      </c>
      <c r="AW582">
        <v>0</v>
      </c>
      <c r="AX582">
        <v>0</v>
      </c>
      <c r="AY582">
        <v>0</v>
      </c>
      <c r="AZ582">
        <v>0</v>
      </c>
      <c r="BA582">
        <v>0</v>
      </c>
      <c r="BB582">
        <v>0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1</v>
      </c>
      <c r="BI582">
        <v>2</v>
      </c>
      <c r="BJ582">
        <v>1.9</v>
      </c>
      <c r="BK582">
        <v>2</v>
      </c>
      <c r="BL582">
        <v>76.06</v>
      </c>
      <c r="BM582">
        <v>11.41</v>
      </c>
      <c r="BN582">
        <v>87.47</v>
      </c>
      <c r="BO582">
        <v>87.47</v>
      </c>
      <c r="BQ582" t="s">
        <v>509</v>
      </c>
      <c r="BR582" t="s">
        <v>82</v>
      </c>
      <c r="BS582" s="3">
        <v>45996</v>
      </c>
      <c r="BT582" s="4">
        <v>0.48194444444444445</v>
      </c>
      <c r="BU582" t="s">
        <v>1285</v>
      </c>
      <c r="BV582" t="s">
        <v>87</v>
      </c>
      <c r="BW582" t="s">
        <v>153</v>
      </c>
      <c r="BX582" t="s">
        <v>996</v>
      </c>
      <c r="BY582">
        <v>9600</v>
      </c>
      <c r="CA582" t="s">
        <v>1217</v>
      </c>
      <c r="CC582" t="s">
        <v>157</v>
      </c>
      <c r="CD582">
        <v>7535</v>
      </c>
      <c r="CE582" t="s">
        <v>86</v>
      </c>
      <c r="CF582" s="3">
        <v>45999</v>
      </c>
      <c r="CI582">
        <v>1</v>
      </c>
      <c r="CJ582">
        <v>1</v>
      </c>
      <c r="CK582">
        <v>21</v>
      </c>
      <c r="CL582" t="s">
        <v>87</v>
      </c>
    </row>
    <row r="583" spans="1:90" x14ac:dyDescent="0.3">
      <c r="A583" t="s">
        <v>72</v>
      </c>
      <c r="B583" t="s">
        <v>73</v>
      </c>
      <c r="C583" t="s">
        <v>74</v>
      </c>
      <c r="E583" t="str">
        <f>"080069675925"</f>
        <v>080069675925</v>
      </c>
      <c r="F583" s="3">
        <v>45995</v>
      </c>
      <c r="G583">
        <v>202609</v>
      </c>
      <c r="H583" t="s">
        <v>75</v>
      </c>
      <c r="I583" t="s">
        <v>76</v>
      </c>
      <c r="J583" t="s">
        <v>77</v>
      </c>
      <c r="K583" t="s">
        <v>78</v>
      </c>
      <c r="L583" t="s">
        <v>241</v>
      </c>
      <c r="M583" t="s">
        <v>242</v>
      </c>
      <c r="N583" t="s">
        <v>243</v>
      </c>
      <c r="O583" t="s">
        <v>89</v>
      </c>
      <c r="P583" t="str">
        <f>"4170071842                    "</f>
        <v xml:space="preserve">4170071842                    </v>
      </c>
      <c r="Q583">
        <v>0</v>
      </c>
      <c r="R583">
        <v>0</v>
      </c>
      <c r="S583">
        <v>0</v>
      </c>
      <c r="T583">
        <v>0</v>
      </c>
      <c r="U583">
        <v>0</v>
      </c>
      <c r="V583">
        <v>0</v>
      </c>
      <c r="W583">
        <v>0</v>
      </c>
      <c r="X583">
        <v>0</v>
      </c>
      <c r="Y583">
        <v>0</v>
      </c>
      <c r="Z583">
        <v>0</v>
      </c>
      <c r="AA583">
        <v>0</v>
      </c>
      <c r="AB583">
        <v>0</v>
      </c>
      <c r="AC583">
        <v>0</v>
      </c>
      <c r="AD583">
        <v>0</v>
      </c>
      <c r="AE583">
        <v>0</v>
      </c>
      <c r="AF583">
        <v>0</v>
      </c>
      <c r="AG583">
        <v>0</v>
      </c>
      <c r="AH583">
        <v>0</v>
      </c>
      <c r="AI583">
        <v>0</v>
      </c>
      <c r="AJ583">
        <v>0</v>
      </c>
      <c r="AK583">
        <v>0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25.52</v>
      </c>
      <c r="AR583">
        <v>0</v>
      </c>
      <c r="AS583">
        <v>0</v>
      </c>
      <c r="AT583">
        <v>0</v>
      </c>
      <c r="AU583">
        <v>0</v>
      </c>
      <c r="AV583">
        <v>0</v>
      </c>
      <c r="AW583">
        <v>0</v>
      </c>
      <c r="AX583">
        <v>0</v>
      </c>
      <c r="AY583">
        <v>0</v>
      </c>
      <c r="AZ583">
        <v>0</v>
      </c>
      <c r="BA583">
        <v>0</v>
      </c>
      <c r="BB583">
        <v>0</v>
      </c>
      <c r="BC583">
        <v>0</v>
      </c>
      <c r="BD583">
        <v>0</v>
      </c>
      <c r="BE583">
        <v>0</v>
      </c>
      <c r="BF583">
        <v>0</v>
      </c>
      <c r="BG583">
        <v>0</v>
      </c>
      <c r="BH583">
        <v>1</v>
      </c>
      <c r="BI583">
        <v>1</v>
      </c>
      <c r="BJ583">
        <v>1.1000000000000001</v>
      </c>
      <c r="BK583">
        <v>1.5</v>
      </c>
      <c r="BL583">
        <v>76.06</v>
      </c>
      <c r="BM583">
        <v>11.41</v>
      </c>
      <c r="BN583">
        <v>87.47</v>
      </c>
      <c r="BO583">
        <v>87.47</v>
      </c>
      <c r="BQ583" t="s">
        <v>244</v>
      </c>
      <c r="BR583" t="s">
        <v>82</v>
      </c>
      <c r="BS583" s="3">
        <v>45996</v>
      </c>
      <c r="BT583" s="4">
        <v>0.41666666666666669</v>
      </c>
      <c r="BU583" t="s">
        <v>1301</v>
      </c>
      <c r="BV583" t="s">
        <v>84</v>
      </c>
      <c r="BY583">
        <v>5510</v>
      </c>
      <c r="CA583" t="s">
        <v>1225</v>
      </c>
      <c r="CC583" t="s">
        <v>242</v>
      </c>
      <c r="CD583">
        <v>4300</v>
      </c>
      <c r="CE583" t="s">
        <v>86</v>
      </c>
      <c r="CF583" s="3">
        <v>45997</v>
      </c>
      <c r="CI583">
        <v>1</v>
      </c>
      <c r="CJ583">
        <v>1</v>
      </c>
      <c r="CK583">
        <v>21</v>
      </c>
      <c r="CL583" t="s">
        <v>87</v>
      </c>
    </row>
    <row r="584" spans="1:90" x14ac:dyDescent="0.3">
      <c r="A584" t="s">
        <v>72</v>
      </c>
      <c r="B584" t="s">
        <v>73</v>
      </c>
      <c r="C584" t="s">
        <v>74</v>
      </c>
      <c r="E584" t="str">
        <f>"080069675940"</f>
        <v>080069675940</v>
      </c>
      <c r="F584" s="3">
        <v>45995</v>
      </c>
      <c r="G584">
        <v>202609</v>
      </c>
      <c r="H584" t="s">
        <v>75</v>
      </c>
      <c r="I584" t="s">
        <v>76</v>
      </c>
      <c r="J584" t="s">
        <v>77</v>
      </c>
      <c r="K584" t="s">
        <v>78</v>
      </c>
      <c r="L584" t="s">
        <v>141</v>
      </c>
      <c r="M584" t="s">
        <v>142</v>
      </c>
      <c r="N584" t="s">
        <v>856</v>
      </c>
      <c r="O584" t="s">
        <v>89</v>
      </c>
      <c r="P584" t="str">
        <f>"4170071906                    "</f>
        <v xml:space="preserve">4170071906                    </v>
      </c>
      <c r="Q584">
        <v>0</v>
      </c>
      <c r="R584">
        <v>0</v>
      </c>
      <c r="S584">
        <v>0</v>
      </c>
      <c r="T584">
        <v>0</v>
      </c>
      <c r="U584">
        <v>0</v>
      </c>
      <c r="V584">
        <v>0</v>
      </c>
      <c r="W584">
        <v>0</v>
      </c>
      <c r="X584">
        <v>0</v>
      </c>
      <c r="Y584">
        <v>0</v>
      </c>
      <c r="Z584">
        <v>0</v>
      </c>
      <c r="AA584">
        <v>0</v>
      </c>
      <c r="AB584">
        <v>0</v>
      </c>
      <c r="AC584">
        <v>0</v>
      </c>
      <c r="AD584">
        <v>0</v>
      </c>
      <c r="AE584">
        <v>0</v>
      </c>
      <c r="AF584">
        <v>0</v>
      </c>
      <c r="AG584">
        <v>0</v>
      </c>
      <c r="AH584">
        <v>0</v>
      </c>
      <c r="AI584">
        <v>0</v>
      </c>
      <c r="AJ584">
        <v>0</v>
      </c>
      <c r="AK584">
        <v>0</v>
      </c>
      <c r="AL584">
        <v>0</v>
      </c>
      <c r="AM584">
        <v>0</v>
      </c>
      <c r="AN584">
        <v>0</v>
      </c>
      <c r="AO584">
        <v>0</v>
      </c>
      <c r="AP584">
        <v>0</v>
      </c>
      <c r="AQ584">
        <v>25.52</v>
      </c>
      <c r="AR584">
        <v>0</v>
      </c>
      <c r="AS584">
        <v>0</v>
      </c>
      <c r="AT584">
        <v>0</v>
      </c>
      <c r="AU584">
        <v>0</v>
      </c>
      <c r="AV584">
        <v>0</v>
      </c>
      <c r="AW584">
        <v>0</v>
      </c>
      <c r="AX584">
        <v>0</v>
      </c>
      <c r="AY584">
        <v>0</v>
      </c>
      <c r="AZ584">
        <v>0</v>
      </c>
      <c r="BA584">
        <v>0</v>
      </c>
      <c r="BB584">
        <v>0</v>
      </c>
      <c r="BC584">
        <v>0</v>
      </c>
      <c r="BD584">
        <v>0</v>
      </c>
      <c r="BE584">
        <v>0</v>
      </c>
      <c r="BF584">
        <v>0</v>
      </c>
      <c r="BG584">
        <v>0</v>
      </c>
      <c r="BH584">
        <v>1</v>
      </c>
      <c r="BI584">
        <v>1</v>
      </c>
      <c r="BJ584">
        <v>0.9</v>
      </c>
      <c r="BK584">
        <v>1</v>
      </c>
      <c r="BL584">
        <v>76.06</v>
      </c>
      <c r="BM584">
        <v>11.41</v>
      </c>
      <c r="BN584">
        <v>87.47</v>
      </c>
      <c r="BO584">
        <v>87.47</v>
      </c>
      <c r="BQ584" t="s">
        <v>857</v>
      </c>
      <c r="BR584" t="s">
        <v>82</v>
      </c>
      <c r="BS584" s="3">
        <v>45996</v>
      </c>
      <c r="BT584" s="4">
        <v>0.43402777777777779</v>
      </c>
      <c r="BU584" t="s">
        <v>1307</v>
      </c>
      <c r="BV584" t="s">
        <v>84</v>
      </c>
      <c r="BY584">
        <v>4275</v>
      </c>
      <c r="CA584" t="s">
        <v>1228</v>
      </c>
      <c r="CC584" t="s">
        <v>142</v>
      </c>
      <c r="CD584">
        <v>6000</v>
      </c>
      <c r="CE584" t="s">
        <v>86</v>
      </c>
      <c r="CF584" s="3">
        <v>45996</v>
      </c>
      <c r="CI584">
        <v>1</v>
      </c>
      <c r="CJ584">
        <v>1</v>
      </c>
      <c r="CK584">
        <v>21</v>
      </c>
      <c r="CL584" t="s">
        <v>87</v>
      </c>
    </row>
    <row r="585" spans="1:90" x14ac:dyDescent="0.3">
      <c r="A585" t="s">
        <v>72</v>
      </c>
      <c r="B585" t="s">
        <v>73</v>
      </c>
      <c r="C585" t="s">
        <v>74</v>
      </c>
      <c r="E585" t="str">
        <f>"080069675956"</f>
        <v>080069675956</v>
      </c>
      <c r="F585" s="3">
        <v>45995</v>
      </c>
      <c r="G585">
        <v>202609</v>
      </c>
      <c r="H585" t="s">
        <v>75</v>
      </c>
      <c r="I585" t="s">
        <v>76</v>
      </c>
      <c r="J585" t="s">
        <v>77</v>
      </c>
      <c r="K585" t="s">
        <v>78</v>
      </c>
      <c r="L585" t="s">
        <v>548</v>
      </c>
      <c r="M585" t="s">
        <v>549</v>
      </c>
      <c r="N585" t="s">
        <v>550</v>
      </c>
      <c r="O585" t="s">
        <v>89</v>
      </c>
      <c r="P585" t="str">
        <f>"4170071741                    "</f>
        <v xml:space="preserve">4170071741                    </v>
      </c>
      <c r="Q585">
        <v>0</v>
      </c>
      <c r="R585">
        <v>0</v>
      </c>
      <c r="S585">
        <v>0</v>
      </c>
      <c r="T585">
        <v>0</v>
      </c>
      <c r="U585">
        <v>0</v>
      </c>
      <c r="V585">
        <v>0</v>
      </c>
      <c r="W585">
        <v>0</v>
      </c>
      <c r="X585">
        <v>0</v>
      </c>
      <c r="Y585">
        <v>0</v>
      </c>
      <c r="Z585">
        <v>0</v>
      </c>
      <c r="AA585">
        <v>0</v>
      </c>
      <c r="AB585">
        <v>0</v>
      </c>
      <c r="AC585">
        <v>0</v>
      </c>
      <c r="AD585">
        <v>0</v>
      </c>
      <c r="AE585">
        <v>0</v>
      </c>
      <c r="AF585">
        <v>0</v>
      </c>
      <c r="AG585">
        <v>0</v>
      </c>
      <c r="AH585">
        <v>0</v>
      </c>
      <c r="AI585">
        <v>0</v>
      </c>
      <c r="AJ585">
        <v>0</v>
      </c>
      <c r="AK585">
        <v>0</v>
      </c>
      <c r="AL585">
        <v>0</v>
      </c>
      <c r="AM585">
        <v>0</v>
      </c>
      <c r="AN585">
        <v>0</v>
      </c>
      <c r="AO585">
        <v>0</v>
      </c>
      <c r="AP585">
        <v>0</v>
      </c>
      <c r="AQ585">
        <v>183.44</v>
      </c>
      <c r="AR585">
        <v>0</v>
      </c>
      <c r="AS585">
        <v>0</v>
      </c>
      <c r="AT585">
        <v>0</v>
      </c>
      <c r="AU585">
        <v>0</v>
      </c>
      <c r="AV585">
        <v>0</v>
      </c>
      <c r="AW585">
        <v>0</v>
      </c>
      <c r="AX585">
        <v>0</v>
      </c>
      <c r="AY585">
        <v>0</v>
      </c>
      <c r="AZ585">
        <v>0</v>
      </c>
      <c r="BA585">
        <v>0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1</v>
      </c>
      <c r="BI585">
        <v>7.9</v>
      </c>
      <c r="BJ585">
        <v>3.9</v>
      </c>
      <c r="BK585">
        <v>8</v>
      </c>
      <c r="BL585">
        <v>546.69000000000005</v>
      </c>
      <c r="BM585">
        <v>82</v>
      </c>
      <c r="BN585">
        <v>628.69000000000005</v>
      </c>
      <c r="BO585">
        <v>628.69000000000005</v>
      </c>
      <c r="BQ585" t="s">
        <v>551</v>
      </c>
      <c r="BR585" t="s">
        <v>82</v>
      </c>
      <c r="BS585" s="3">
        <v>45996</v>
      </c>
      <c r="BT585" s="4">
        <v>0.43402777777777779</v>
      </c>
      <c r="BU585" t="s">
        <v>1308</v>
      </c>
      <c r="BV585" t="s">
        <v>84</v>
      </c>
      <c r="BY585">
        <v>19373.2</v>
      </c>
      <c r="CA585" s="5" t="s">
        <v>1309</v>
      </c>
      <c r="CC585" t="s">
        <v>549</v>
      </c>
      <c r="CD585">
        <v>2302</v>
      </c>
      <c r="CE585" t="s">
        <v>86</v>
      </c>
      <c r="CF585" s="3">
        <v>45999</v>
      </c>
      <c r="CI585">
        <v>1</v>
      </c>
      <c r="CJ585">
        <v>1</v>
      </c>
      <c r="CK585">
        <v>23</v>
      </c>
      <c r="CL585" t="s">
        <v>87</v>
      </c>
    </row>
    <row r="586" spans="1:90" x14ac:dyDescent="0.3">
      <c r="A586" t="s">
        <v>72</v>
      </c>
      <c r="B586" t="s">
        <v>73</v>
      </c>
      <c r="C586" t="s">
        <v>74</v>
      </c>
      <c r="E586" t="str">
        <f>"080069675963"</f>
        <v>080069675963</v>
      </c>
      <c r="F586" s="3">
        <v>45995</v>
      </c>
      <c r="G586">
        <v>202609</v>
      </c>
      <c r="H586" t="s">
        <v>75</v>
      </c>
      <c r="I586" t="s">
        <v>76</v>
      </c>
      <c r="J586" t="s">
        <v>77</v>
      </c>
      <c r="K586" t="s">
        <v>78</v>
      </c>
      <c r="L586" t="s">
        <v>94</v>
      </c>
      <c r="M586" t="s">
        <v>95</v>
      </c>
      <c r="N586" t="s">
        <v>96</v>
      </c>
      <c r="O586" t="s">
        <v>80</v>
      </c>
      <c r="P586" t="str">
        <f>"4170071796                    "</f>
        <v xml:space="preserve">4170071796                    </v>
      </c>
      <c r="Q586">
        <v>0</v>
      </c>
      <c r="R586">
        <v>0</v>
      </c>
      <c r="S586">
        <v>0</v>
      </c>
      <c r="T586">
        <v>0</v>
      </c>
      <c r="U586">
        <v>0</v>
      </c>
      <c r="V586">
        <v>0</v>
      </c>
      <c r="W586">
        <v>0</v>
      </c>
      <c r="X586">
        <v>0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0</v>
      </c>
      <c r="AE586">
        <v>0</v>
      </c>
      <c r="AF586">
        <v>0</v>
      </c>
      <c r="AG586">
        <v>0</v>
      </c>
      <c r="AH586">
        <v>0</v>
      </c>
      <c r="AI586">
        <v>0</v>
      </c>
      <c r="AJ586">
        <v>0</v>
      </c>
      <c r="AK586">
        <v>0</v>
      </c>
      <c r="AL586">
        <v>0</v>
      </c>
      <c r="AM586">
        <v>0</v>
      </c>
      <c r="AN586">
        <v>0</v>
      </c>
      <c r="AO586">
        <v>0</v>
      </c>
      <c r="AP586">
        <v>0</v>
      </c>
      <c r="AQ586">
        <v>96.28</v>
      </c>
      <c r="AR586">
        <v>0</v>
      </c>
      <c r="AS586">
        <v>0</v>
      </c>
      <c r="AT586">
        <v>0</v>
      </c>
      <c r="AU586">
        <v>0</v>
      </c>
      <c r="AV586">
        <v>0</v>
      </c>
      <c r="AW586">
        <v>0</v>
      </c>
      <c r="AX586">
        <v>0</v>
      </c>
      <c r="AY586">
        <v>0</v>
      </c>
      <c r="AZ586">
        <v>0</v>
      </c>
      <c r="BA586">
        <v>0</v>
      </c>
      <c r="BB586">
        <v>0</v>
      </c>
      <c r="BC586">
        <v>0</v>
      </c>
      <c r="BD586">
        <v>0</v>
      </c>
      <c r="BE586">
        <v>0</v>
      </c>
      <c r="BF586">
        <v>0</v>
      </c>
      <c r="BG586">
        <v>0</v>
      </c>
      <c r="BH586">
        <v>2</v>
      </c>
      <c r="BI586">
        <v>32.1</v>
      </c>
      <c r="BJ586">
        <v>37.5</v>
      </c>
      <c r="BK586">
        <v>38</v>
      </c>
      <c r="BL586">
        <v>293.04000000000002</v>
      </c>
      <c r="BM586">
        <v>43.96</v>
      </c>
      <c r="BN586">
        <v>337</v>
      </c>
      <c r="BO586">
        <v>337</v>
      </c>
      <c r="BQ586" t="s">
        <v>97</v>
      </c>
      <c r="BR586" t="s">
        <v>82</v>
      </c>
      <c r="BS586" s="3">
        <v>45996</v>
      </c>
      <c r="BT586" s="4">
        <v>0.42083333333333334</v>
      </c>
      <c r="BU586" t="s">
        <v>98</v>
      </c>
      <c r="BV586" t="s">
        <v>84</v>
      </c>
      <c r="BY586">
        <v>187272</v>
      </c>
      <c r="CA586" t="s">
        <v>99</v>
      </c>
      <c r="CC586" t="s">
        <v>95</v>
      </c>
      <c r="CD586">
        <v>3610</v>
      </c>
      <c r="CE586" t="s">
        <v>86</v>
      </c>
      <c r="CF586" s="3">
        <v>45996</v>
      </c>
      <c r="CI586">
        <v>1</v>
      </c>
      <c r="CJ586">
        <v>1</v>
      </c>
      <c r="CK586">
        <v>41</v>
      </c>
      <c r="CL586" t="s">
        <v>87</v>
      </c>
    </row>
    <row r="587" spans="1:90" x14ac:dyDescent="0.3">
      <c r="A587" t="s">
        <v>72</v>
      </c>
      <c r="B587" t="s">
        <v>73</v>
      </c>
      <c r="C587" t="s">
        <v>74</v>
      </c>
      <c r="E587" t="str">
        <f>"080069676004"</f>
        <v>080069676004</v>
      </c>
      <c r="F587" s="3">
        <v>45995</v>
      </c>
      <c r="G587">
        <v>202609</v>
      </c>
      <c r="H587" t="s">
        <v>75</v>
      </c>
      <c r="I587" t="s">
        <v>76</v>
      </c>
      <c r="J587" t="s">
        <v>77</v>
      </c>
      <c r="K587" t="s">
        <v>78</v>
      </c>
      <c r="L587" t="s">
        <v>1137</v>
      </c>
      <c r="M587" t="s">
        <v>1310</v>
      </c>
      <c r="N587" t="s">
        <v>1311</v>
      </c>
      <c r="O587" t="s">
        <v>80</v>
      </c>
      <c r="P587" t="str">
        <f>"4170071739                    "</f>
        <v xml:space="preserve">4170071739                    </v>
      </c>
      <c r="Q587">
        <v>0</v>
      </c>
      <c r="R587">
        <v>0</v>
      </c>
      <c r="S587">
        <v>0</v>
      </c>
      <c r="T587">
        <v>0</v>
      </c>
      <c r="U587">
        <v>0</v>
      </c>
      <c r="V587">
        <v>0</v>
      </c>
      <c r="W587">
        <v>0</v>
      </c>
      <c r="X587">
        <v>0</v>
      </c>
      <c r="Y587">
        <v>0</v>
      </c>
      <c r="Z587">
        <v>0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0</v>
      </c>
      <c r="AJ587">
        <v>0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0</v>
      </c>
      <c r="AQ587">
        <v>83.84</v>
      </c>
      <c r="AR587">
        <v>0</v>
      </c>
      <c r="AS587">
        <v>0</v>
      </c>
      <c r="AT587">
        <v>0</v>
      </c>
      <c r="AU587">
        <v>0</v>
      </c>
      <c r="AV587">
        <v>0</v>
      </c>
      <c r="AW587">
        <v>0</v>
      </c>
      <c r="AX587">
        <v>0</v>
      </c>
      <c r="AY587">
        <v>0</v>
      </c>
      <c r="AZ587">
        <v>0</v>
      </c>
      <c r="BA587">
        <v>0</v>
      </c>
      <c r="BB587">
        <v>0</v>
      </c>
      <c r="BC587">
        <v>0</v>
      </c>
      <c r="BD587">
        <v>0</v>
      </c>
      <c r="BE587">
        <v>0</v>
      </c>
      <c r="BF587">
        <v>0</v>
      </c>
      <c r="BG587">
        <v>0</v>
      </c>
      <c r="BH587">
        <v>1</v>
      </c>
      <c r="BI587">
        <v>11.5</v>
      </c>
      <c r="BJ587">
        <v>19</v>
      </c>
      <c r="BK587">
        <v>19</v>
      </c>
      <c r="BL587">
        <v>255.95</v>
      </c>
      <c r="BM587">
        <v>38.39</v>
      </c>
      <c r="BN587">
        <v>294.33999999999997</v>
      </c>
      <c r="BO587">
        <v>294.33999999999997</v>
      </c>
      <c r="BQ587" t="s">
        <v>1312</v>
      </c>
      <c r="BR587" t="s">
        <v>82</v>
      </c>
      <c r="BS587" s="3">
        <v>45999</v>
      </c>
      <c r="BT587" s="4">
        <v>0.71527777777777779</v>
      </c>
      <c r="BU587" t="s">
        <v>1313</v>
      </c>
      <c r="BV587" t="s">
        <v>84</v>
      </c>
      <c r="BY587">
        <v>94886.52</v>
      </c>
      <c r="CC587" t="s">
        <v>1310</v>
      </c>
      <c r="CD587">
        <v>8405</v>
      </c>
      <c r="CE587" t="s">
        <v>86</v>
      </c>
      <c r="CF587" s="3">
        <v>46000</v>
      </c>
      <c r="CI587">
        <v>5</v>
      </c>
      <c r="CJ587">
        <v>2</v>
      </c>
      <c r="CK587">
        <v>43</v>
      </c>
      <c r="CL587" t="s">
        <v>87</v>
      </c>
    </row>
    <row r="588" spans="1:90" x14ac:dyDescent="0.3">
      <c r="A588" t="s">
        <v>72</v>
      </c>
      <c r="B588" t="s">
        <v>73</v>
      </c>
      <c r="C588" t="s">
        <v>74</v>
      </c>
      <c r="E588" t="str">
        <f>"080069676031"</f>
        <v>080069676031</v>
      </c>
      <c r="F588" s="3">
        <v>45995</v>
      </c>
      <c r="G588">
        <v>202609</v>
      </c>
      <c r="H588" t="s">
        <v>75</v>
      </c>
      <c r="I588" t="s">
        <v>76</v>
      </c>
      <c r="J588" t="s">
        <v>77</v>
      </c>
      <c r="K588" t="s">
        <v>78</v>
      </c>
      <c r="L588" t="s">
        <v>781</v>
      </c>
      <c r="M588" t="s">
        <v>782</v>
      </c>
      <c r="N588" t="s">
        <v>1314</v>
      </c>
      <c r="O588" t="s">
        <v>89</v>
      </c>
      <c r="P588" t="str">
        <f>"4170071907                    "</f>
        <v xml:space="preserve">4170071907                    </v>
      </c>
      <c r="Q588">
        <v>0</v>
      </c>
      <c r="R588">
        <v>0</v>
      </c>
      <c r="S588">
        <v>0</v>
      </c>
      <c r="T588">
        <v>0</v>
      </c>
      <c r="U588">
        <v>0</v>
      </c>
      <c r="V588">
        <v>0</v>
      </c>
      <c r="W588">
        <v>0</v>
      </c>
      <c r="X588">
        <v>0</v>
      </c>
      <c r="Y588">
        <v>0</v>
      </c>
      <c r="Z588">
        <v>0</v>
      </c>
      <c r="AA588">
        <v>0</v>
      </c>
      <c r="AB588">
        <v>0</v>
      </c>
      <c r="AC588">
        <v>0</v>
      </c>
      <c r="AD588">
        <v>0</v>
      </c>
      <c r="AE588">
        <v>0</v>
      </c>
      <c r="AF588">
        <v>0</v>
      </c>
      <c r="AG588">
        <v>0</v>
      </c>
      <c r="AH588">
        <v>0</v>
      </c>
      <c r="AI588">
        <v>0</v>
      </c>
      <c r="AJ588">
        <v>0</v>
      </c>
      <c r="AK588">
        <v>0</v>
      </c>
      <c r="AL588">
        <v>0</v>
      </c>
      <c r="AM588">
        <v>0</v>
      </c>
      <c r="AN588">
        <v>0</v>
      </c>
      <c r="AO588">
        <v>0</v>
      </c>
      <c r="AP588">
        <v>0</v>
      </c>
      <c r="AQ588">
        <v>25.52</v>
      </c>
      <c r="AR588">
        <v>0</v>
      </c>
      <c r="AS588">
        <v>0</v>
      </c>
      <c r="AT588">
        <v>0</v>
      </c>
      <c r="AU588">
        <v>0</v>
      </c>
      <c r="AV588">
        <v>0</v>
      </c>
      <c r="AW588">
        <v>17.41</v>
      </c>
      <c r="AX588">
        <v>0</v>
      </c>
      <c r="AY588">
        <v>0</v>
      </c>
      <c r="AZ588">
        <v>0</v>
      </c>
      <c r="BA588">
        <v>0</v>
      </c>
      <c r="BB588">
        <v>0</v>
      </c>
      <c r="BC588">
        <v>0</v>
      </c>
      <c r="BD588">
        <v>0</v>
      </c>
      <c r="BE588">
        <v>0</v>
      </c>
      <c r="BF588">
        <v>0</v>
      </c>
      <c r="BG588">
        <v>0</v>
      </c>
      <c r="BH588">
        <v>1</v>
      </c>
      <c r="BI588">
        <v>1</v>
      </c>
      <c r="BJ588">
        <v>0.2</v>
      </c>
      <c r="BK588">
        <v>1</v>
      </c>
      <c r="BL588">
        <v>93.47</v>
      </c>
      <c r="BM588">
        <v>14.02</v>
      </c>
      <c r="BN588">
        <v>107.49</v>
      </c>
      <c r="BO588">
        <v>107.49</v>
      </c>
      <c r="BQ588" t="s">
        <v>1315</v>
      </c>
      <c r="BR588" t="s">
        <v>82</v>
      </c>
      <c r="BS588" s="3">
        <v>45999</v>
      </c>
      <c r="BT588" s="4">
        <v>0.5083333333333333</v>
      </c>
      <c r="BU588" t="s">
        <v>1316</v>
      </c>
      <c r="BV588" t="s">
        <v>87</v>
      </c>
      <c r="BW588" t="s">
        <v>246</v>
      </c>
      <c r="BX588" t="s">
        <v>106</v>
      </c>
      <c r="BY588">
        <v>1200</v>
      </c>
      <c r="BZ588" t="s">
        <v>30</v>
      </c>
      <c r="CA588" t="s">
        <v>630</v>
      </c>
      <c r="CC588" t="s">
        <v>782</v>
      </c>
      <c r="CD588">
        <v>4110</v>
      </c>
      <c r="CE588" t="s">
        <v>134</v>
      </c>
      <c r="CF588" s="3">
        <v>46000</v>
      </c>
      <c r="CI588">
        <v>1</v>
      </c>
      <c r="CJ588">
        <v>2</v>
      </c>
      <c r="CK588">
        <v>21</v>
      </c>
      <c r="CL588" t="s">
        <v>87</v>
      </c>
    </row>
    <row r="589" spans="1:90" x14ac:dyDescent="0.3">
      <c r="A589" t="s">
        <v>72</v>
      </c>
      <c r="B589" t="s">
        <v>73</v>
      </c>
      <c r="C589" t="s">
        <v>74</v>
      </c>
      <c r="E589" t="str">
        <f>"080069676040"</f>
        <v>080069676040</v>
      </c>
      <c r="F589" s="3">
        <v>45995</v>
      </c>
      <c r="G589">
        <v>202609</v>
      </c>
      <c r="H589" t="s">
        <v>75</v>
      </c>
      <c r="I589" t="s">
        <v>76</v>
      </c>
      <c r="J589" t="s">
        <v>77</v>
      </c>
      <c r="K589" t="s">
        <v>78</v>
      </c>
      <c r="L589" t="s">
        <v>156</v>
      </c>
      <c r="M589" t="s">
        <v>157</v>
      </c>
      <c r="N589" t="s">
        <v>434</v>
      </c>
      <c r="O589" t="s">
        <v>89</v>
      </c>
      <c r="P589" t="str">
        <f>"4170071805                    "</f>
        <v xml:space="preserve">4170071805                    </v>
      </c>
      <c r="Q589">
        <v>0</v>
      </c>
      <c r="R589">
        <v>0</v>
      </c>
      <c r="S589">
        <v>0</v>
      </c>
      <c r="T589">
        <v>0</v>
      </c>
      <c r="U589">
        <v>0</v>
      </c>
      <c r="V589">
        <v>0</v>
      </c>
      <c r="W589">
        <v>0</v>
      </c>
      <c r="X589">
        <v>0</v>
      </c>
      <c r="Y589">
        <v>0</v>
      </c>
      <c r="Z589">
        <v>0</v>
      </c>
      <c r="AA589">
        <v>0</v>
      </c>
      <c r="AB589">
        <v>0</v>
      </c>
      <c r="AC589">
        <v>0</v>
      </c>
      <c r="AD589">
        <v>0</v>
      </c>
      <c r="AE589">
        <v>0</v>
      </c>
      <c r="AF589">
        <v>0</v>
      </c>
      <c r="AG589">
        <v>0</v>
      </c>
      <c r="AH589">
        <v>0</v>
      </c>
      <c r="AI589">
        <v>0</v>
      </c>
      <c r="AJ589">
        <v>0</v>
      </c>
      <c r="AK589">
        <v>0</v>
      </c>
      <c r="AL589">
        <v>0</v>
      </c>
      <c r="AM589">
        <v>0</v>
      </c>
      <c r="AN589">
        <v>0</v>
      </c>
      <c r="AO589">
        <v>0</v>
      </c>
      <c r="AP589">
        <v>0</v>
      </c>
      <c r="AQ589">
        <v>44.66</v>
      </c>
      <c r="AR589">
        <v>0</v>
      </c>
      <c r="AS589">
        <v>0</v>
      </c>
      <c r="AT589">
        <v>0</v>
      </c>
      <c r="AU589">
        <v>0</v>
      </c>
      <c r="AV589">
        <v>0</v>
      </c>
      <c r="AW589">
        <v>0</v>
      </c>
      <c r="AX589">
        <v>0</v>
      </c>
      <c r="AY589">
        <v>0</v>
      </c>
      <c r="AZ589">
        <v>0</v>
      </c>
      <c r="BA589">
        <v>0</v>
      </c>
      <c r="BB589">
        <v>0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1</v>
      </c>
      <c r="BI589">
        <v>3</v>
      </c>
      <c r="BJ589">
        <v>3.4</v>
      </c>
      <c r="BK589">
        <v>3.5</v>
      </c>
      <c r="BL589">
        <v>133.09</v>
      </c>
      <c r="BM589">
        <v>19.96</v>
      </c>
      <c r="BN589">
        <v>153.05000000000001</v>
      </c>
      <c r="BO589">
        <v>153.05000000000001</v>
      </c>
      <c r="BQ589" t="s">
        <v>435</v>
      </c>
      <c r="BR589" t="s">
        <v>82</v>
      </c>
      <c r="BS589" s="3">
        <v>45996</v>
      </c>
      <c r="BT589" s="4">
        <v>0.39583333333333331</v>
      </c>
      <c r="BU589" t="s">
        <v>1193</v>
      </c>
      <c r="BV589" t="s">
        <v>84</v>
      </c>
      <c r="BY589">
        <v>16965</v>
      </c>
      <c r="CA589" t="s">
        <v>264</v>
      </c>
      <c r="CC589" t="s">
        <v>157</v>
      </c>
      <c r="CD589">
        <v>7441</v>
      </c>
      <c r="CE589" t="s">
        <v>86</v>
      </c>
      <c r="CF589" s="3">
        <v>45999</v>
      </c>
      <c r="CI589">
        <v>1</v>
      </c>
      <c r="CJ589">
        <v>1</v>
      </c>
      <c r="CK589">
        <v>21</v>
      </c>
      <c r="CL589" t="s">
        <v>87</v>
      </c>
    </row>
    <row r="590" spans="1:90" x14ac:dyDescent="0.3">
      <c r="A590" t="s">
        <v>72</v>
      </c>
      <c r="B590" t="s">
        <v>73</v>
      </c>
      <c r="C590" t="s">
        <v>74</v>
      </c>
      <c r="E590" t="str">
        <f>"080069676049"</f>
        <v>080069676049</v>
      </c>
      <c r="F590" s="3">
        <v>45995</v>
      </c>
      <c r="G590">
        <v>202609</v>
      </c>
      <c r="H590" t="s">
        <v>75</v>
      </c>
      <c r="I590" t="s">
        <v>76</v>
      </c>
      <c r="J590" t="s">
        <v>77</v>
      </c>
      <c r="K590" t="s">
        <v>78</v>
      </c>
      <c r="L590" t="s">
        <v>156</v>
      </c>
      <c r="M590" t="s">
        <v>157</v>
      </c>
      <c r="N590" t="s">
        <v>1317</v>
      </c>
      <c r="O590" t="s">
        <v>89</v>
      </c>
      <c r="P590" t="str">
        <f>"4170071843                    "</f>
        <v xml:space="preserve">4170071843                    </v>
      </c>
      <c r="Q590">
        <v>0</v>
      </c>
      <c r="R590">
        <v>0</v>
      </c>
      <c r="S590">
        <v>0</v>
      </c>
      <c r="T590">
        <v>0</v>
      </c>
      <c r="U590">
        <v>0</v>
      </c>
      <c r="V590">
        <v>0</v>
      </c>
      <c r="W590">
        <v>0</v>
      </c>
      <c r="X590">
        <v>0</v>
      </c>
      <c r="Y590">
        <v>0</v>
      </c>
      <c r="Z590">
        <v>0</v>
      </c>
      <c r="AA590">
        <v>0</v>
      </c>
      <c r="AB590">
        <v>0</v>
      </c>
      <c r="AC590">
        <v>0</v>
      </c>
      <c r="AD590">
        <v>0</v>
      </c>
      <c r="AE590">
        <v>0</v>
      </c>
      <c r="AF590">
        <v>0</v>
      </c>
      <c r="AG590">
        <v>0</v>
      </c>
      <c r="AH590">
        <v>0</v>
      </c>
      <c r="AI590">
        <v>0</v>
      </c>
      <c r="AJ590">
        <v>0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0</v>
      </c>
      <c r="AQ590">
        <v>25.52</v>
      </c>
      <c r="AR590">
        <v>0</v>
      </c>
      <c r="AS590">
        <v>0</v>
      </c>
      <c r="AT590">
        <v>0</v>
      </c>
      <c r="AU590">
        <v>0</v>
      </c>
      <c r="AV590">
        <v>0</v>
      </c>
      <c r="AW590">
        <v>0</v>
      </c>
      <c r="AX590">
        <v>0</v>
      </c>
      <c r="AY590">
        <v>0</v>
      </c>
      <c r="AZ590">
        <v>0</v>
      </c>
      <c r="BA590">
        <v>0</v>
      </c>
      <c r="BB590">
        <v>0</v>
      </c>
      <c r="BC590">
        <v>0</v>
      </c>
      <c r="BD590">
        <v>0</v>
      </c>
      <c r="BE590">
        <v>0</v>
      </c>
      <c r="BF590">
        <v>0</v>
      </c>
      <c r="BG590">
        <v>0</v>
      </c>
      <c r="BH590">
        <v>1</v>
      </c>
      <c r="BI590">
        <v>1</v>
      </c>
      <c r="BJ590">
        <v>0.2</v>
      </c>
      <c r="BK590">
        <v>1</v>
      </c>
      <c r="BL590">
        <v>76.06</v>
      </c>
      <c r="BM590">
        <v>11.41</v>
      </c>
      <c r="BN590">
        <v>87.47</v>
      </c>
      <c r="BO590">
        <v>87.47</v>
      </c>
      <c r="BQ590" t="s">
        <v>1318</v>
      </c>
      <c r="BR590" t="s">
        <v>82</v>
      </c>
      <c r="BS590" s="3">
        <v>45996</v>
      </c>
      <c r="BT590" s="4">
        <v>0.52222222222222225</v>
      </c>
      <c r="BU590" t="s">
        <v>1319</v>
      </c>
      <c r="BV590" t="s">
        <v>87</v>
      </c>
      <c r="BW590" t="s">
        <v>153</v>
      </c>
      <c r="BX590" t="s">
        <v>154</v>
      </c>
      <c r="BY590">
        <v>1200</v>
      </c>
      <c r="CA590" t="s">
        <v>967</v>
      </c>
      <c r="CC590" t="s">
        <v>157</v>
      </c>
      <c r="CD590">
        <v>7500</v>
      </c>
      <c r="CE590" t="s">
        <v>134</v>
      </c>
      <c r="CF590" s="3">
        <v>45999</v>
      </c>
      <c r="CI590">
        <v>1</v>
      </c>
      <c r="CJ590">
        <v>1</v>
      </c>
      <c r="CK590">
        <v>21</v>
      </c>
      <c r="CL590" t="s">
        <v>87</v>
      </c>
    </row>
    <row r="591" spans="1:90" x14ac:dyDescent="0.3">
      <c r="A591" t="s">
        <v>72</v>
      </c>
      <c r="B591" t="s">
        <v>73</v>
      </c>
      <c r="C591" t="s">
        <v>74</v>
      </c>
      <c r="E591" t="str">
        <f>"080069676089"</f>
        <v>080069676089</v>
      </c>
      <c r="F591" s="3">
        <v>45995</v>
      </c>
      <c r="G591">
        <v>202609</v>
      </c>
      <c r="H591" t="s">
        <v>75</v>
      </c>
      <c r="I591" t="s">
        <v>76</v>
      </c>
      <c r="J591" t="s">
        <v>77</v>
      </c>
      <c r="K591" t="s">
        <v>78</v>
      </c>
      <c r="L591" t="s">
        <v>141</v>
      </c>
      <c r="M591" t="s">
        <v>142</v>
      </c>
      <c r="N591" t="s">
        <v>587</v>
      </c>
      <c r="O591" t="s">
        <v>89</v>
      </c>
      <c r="P591" t="str">
        <f>"4170071903                    "</f>
        <v xml:space="preserve">4170071903                    </v>
      </c>
      <c r="Q591">
        <v>0</v>
      </c>
      <c r="R591">
        <v>0</v>
      </c>
      <c r="S591">
        <v>0</v>
      </c>
      <c r="T591">
        <v>0</v>
      </c>
      <c r="U591">
        <v>0</v>
      </c>
      <c r="V591">
        <v>0</v>
      </c>
      <c r="W591">
        <v>0</v>
      </c>
      <c r="X591">
        <v>0</v>
      </c>
      <c r="Y591">
        <v>0</v>
      </c>
      <c r="Z591">
        <v>0</v>
      </c>
      <c r="AA591">
        <v>0</v>
      </c>
      <c r="AB591">
        <v>0</v>
      </c>
      <c r="AC591">
        <v>0</v>
      </c>
      <c r="AD591">
        <v>0</v>
      </c>
      <c r="AE591">
        <v>0</v>
      </c>
      <c r="AF591">
        <v>0</v>
      </c>
      <c r="AG591">
        <v>0</v>
      </c>
      <c r="AH591">
        <v>0</v>
      </c>
      <c r="AI591">
        <v>0</v>
      </c>
      <c r="AJ591">
        <v>0</v>
      </c>
      <c r="AK591">
        <v>0</v>
      </c>
      <c r="AL591">
        <v>0</v>
      </c>
      <c r="AM591">
        <v>0</v>
      </c>
      <c r="AN591">
        <v>0</v>
      </c>
      <c r="AO591">
        <v>0</v>
      </c>
      <c r="AP591">
        <v>0</v>
      </c>
      <c r="AQ591">
        <v>25.52</v>
      </c>
      <c r="AR591">
        <v>0</v>
      </c>
      <c r="AS591">
        <v>0</v>
      </c>
      <c r="AT591">
        <v>0</v>
      </c>
      <c r="AU591">
        <v>0</v>
      </c>
      <c r="AV591">
        <v>0</v>
      </c>
      <c r="AW591">
        <v>0</v>
      </c>
      <c r="AX591">
        <v>0</v>
      </c>
      <c r="AY591">
        <v>0</v>
      </c>
      <c r="AZ591">
        <v>0</v>
      </c>
      <c r="BA591">
        <v>0</v>
      </c>
      <c r="BB591">
        <v>0</v>
      </c>
      <c r="BC591">
        <v>0</v>
      </c>
      <c r="BD591">
        <v>0</v>
      </c>
      <c r="BE591">
        <v>0</v>
      </c>
      <c r="BF591">
        <v>0</v>
      </c>
      <c r="BG591">
        <v>0</v>
      </c>
      <c r="BH591">
        <v>1</v>
      </c>
      <c r="BI591">
        <v>1</v>
      </c>
      <c r="BJ591">
        <v>0.2</v>
      </c>
      <c r="BK591">
        <v>1</v>
      </c>
      <c r="BL591">
        <v>76.06</v>
      </c>
      <c r="BM591">
        <v>11.41</v>
      </c>
      <c r="BN591">
        <v>87.47</v>
      </c>
      <c r="BO591">
        <v>87.47</v>
      </c>
      <c r="BQ591" t="s">
        <v>588</v>
      </c>
      <c r="BR591" t="s">
        <v>82</v>
      </c>
      <c r="BS591" s="3">
        <v>45996</v>
      </c>
      <c r="BT591" s="4">
        <v>0.42708333333333331</v>
      </c>
      <c r="BU591" t="s">
        <v>589</v>
      </c>
      <c r="BV591" t="s">
        <v>84</v>
      </c>
      <c r="BY591">
        <v>1200</v>
      </c>
      <c r="CA591" t="s">
        <v>571</v>
      </c>
      <c r="CC591" t="s">
        <v>142</v>
      </c>
      <c r="CD591">
        <v>6001</v>
      </c>
      <c r="CE591" t="s">
        <v>134</v>
      </c>
      <c r="CF591" s="3">
        <v>45996</v>
      </c>
      <c r="CI591">
        <v>1</v>
      </c>
      <c r="CJ591">
        <v>1</v>
      </c>
      <c r="CK591">
        <v>21</v>
      </c>
      <c r="CL591" t="s">
        <v>87</v>
      </c>
    </row>
    <row r="592" spans="1:90" x14ac:dyDescent="0.3">
      <c r="A592" t="s">
        <v>72</v>
      </c>
      <c r="B592" t="s">
        <v>73</v>
      </c>
      <c r="C592" t="s">
        <v>74</v>
      </c>
      <c r="E592" t="str">
        <f>"080069676096"</f>
        <v>080069676096</v>
      </c>
      <c r="F592" s="3">
        <v>45995</v>
      </c>
      <c r="G592">
        <v>202609</v>
      </c>
      <c r="H592" t="s">
        <v>75</v>
      </c>
      <c r="I592" t="s">
        <v>76</v>
      </c>
      <c r="J592" t="s">
        <v>77</v>
      </c>
      <c r="K592" t="s">
        <v>78</v>
      </c>
      <c r="L592" t="s">
        <v>535</v>
      </c>
      <c r="M592" t="s">
        <v>535</v>
      </c>
      <c r="N592" t="s">
        <v>1320</v>
      </c>
      <c r="O592" t="s">
        <v>89</v>
      </c>
      <c r="P592" t="str">
        <f>"4170071891                    "</f>
        <v xml:space="preserve">4170071891                    </v>
      </c>
      <c r="Q592">
        <v>0</v>
      </c>
      <c r="R592">
        <v>0</v>
      </c>
      <c r="S592">
        <v>0</v>
      </c>
      <c r="T592">
        <v>0</v>
      </c>
      <c r="U592">
        <v>0</v>
      </c>
      <c r="V592">
        <v>0</v>
      </c>
      <c r="W592">
        <v>0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0</v>
      </c>
      <c r="AD592">
        <v>0</v>
      </c>
      <c r="AE592">
        <v>0</v>
      </c>
      <c r="AF592">
        <v>0</v>
      </c>
      <c r="AG592">
        <v>0</v>
      </c>
      <c r="AH592">
        <v>0</v>
      </c>
      <c r="AI592">
        <v>0</v>
      </c>
      <c r="AJ592">
        <v>0</v>
      </c>
      <c r="AK592">
        <v>0</v>
      </c>
      <c r="AL592">
        <v>0</v>
      </c>
      <c r="AM592">
        <v>0</v>
      </c>
      <c r="AN592">
        <v>0</v>
      </c>
      <c r="AO592">
        <v>0</v>
      </c>
      <c r="AP592">
        <v>0</v>
      </c>
      <c r="AQ592">
        <v>49.45</v>
      </c>
      <c r="AR592">
        <v>0</v>
      </c>
      <c r="AS592">
        <v>0</v>
      </c>
      <c r="AT592">
        <v>0</v>
      </c>
      <c r="AU592">
        <v>0</v>
      </c>
      <c r="AV592">
        <v>0</v>
      </c>
      <c r="AW592">
        <v>0</v>
      </c>
      <c r="AX592">
        <v>0</v>
      </c>
      <c r="AY592">
        <v>0</v>
      </c>
      <c r="AZ592">
        <v>0</v>
      </c>
      <c r="BA592">
        <v>0</v>
      </c>
      <c r="BB592">
        <v>0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1</v>
      </c>
      <c r="BI592">
        <v>1</v>
      </c>
      <c r="BJ592">
        <v>1.8</v>
      </c>
      <c r="BK592">
        <v>2</v>
      </c>
      <c r="BL592">
        <v>147.38</v>
      </c>
      <c r="BM592">
        <v>22.11</v>
      </c>
      <c r="BN592">
        <v>169.49</v>
      </c>
      <c r="BO592">
        <v>169.49</v>
      </c>
      <c r="BQ592" t="s">
        <v>1321</v>
      </c>
      <c r="BR592" t="s">
        <v>82</v>
      </c>
      <c r="BS592" s="3">
        <v>45996</v>
      </c>
      <c r="BT592" s="4">
        <v>0.73263888888888884</v>
      </c>
      <c r="BU592" t="s">
        <v>1322</v>
      </c>
      <c r="BV592" t="s">
        <v>87</v>
      </c>
      <c r="BW592" t="s">
        <v>153</v>
      </c>
      <c r="BX592" t="s">
        <v>345</v>
      </c>
      <c r="BY592">
        <v>8816</v>
      </c>
      <c r="CA592" t="s">
        <v>539</v>
      </c>
      <c r="CC592" t="s">
        <v>535</v>
      </c>
      <c r="CD592">
        <v>7646</v>
      </c>
      <c r="CE592" t="s">
        <v>86</v>
      </c>
      <c r="CF592" s="3">
        <v>45999</v>
      </c>
      <c r="CI592">
        <v>1</v>
      </c>
      <c r="CJ592">
        <v>1</v>
      </c>
      <c r="CK592">
        <v>23</v>
      </c>
      <c r="CL592" t="s">
        <v>87</v>
      </c>
    </row>
    <row r="593" spans="1:90" x14ac:dyDescent="0.3">
      <c r="A593" t="s">
        <v>72</v>
      </c>
      <c r="B593" t="s">
        <v>73</v>
      </c>
      <c r="C593" t="s">
        <v>74</v>
      </c>
      <c r="E593" t="str">
        <f>"080069676104"</f>
        <v>080069676104</v>
      </c>
      <c r="F593" s="3">
        <v>45995</v>
      </c>
      <c r="G593">
        <v>202609</v>
      </c>
      <c r="H593" t="s">
        <v>75</v>
      </c>
      <c r="I593" t="s">
        <v>76</v>
      </c>
      <c r="J593" t="s">
        <v>77</v>
      </c>
      <c r="K593" t="s">
        <v>78</v>
      </c>
      <c r="L593" t="s">
        <v>502</v>
      </c>
      <c r="M593" t="s">
        <v>503</v>
      </c>
      <c r="N593" t="s">
        <v>678</v>
      </c>
      <c r="O593" t="s">
        <v>89</v>
      </c>
      <c r="P593" t="str">
        <f>"4170071936                    "</f>
        <v xml:space="preserve">4170071936                    </v>
      </c>
      <c r="Q593">
        <v>0</v>
      </c>
      <c r="R593">
        <v>0</v>
      </c>
      <c r="S593">
        <v>0</v>
      </c>
      <c r="T593">
        <v>0</v>
      </c>
      <c r="U593">
        <v>0</v>
      </c>
      <c r="V593">
        <v>0</v>
      </c>
      <c r="W593">
        <v>0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0</v>
      </c>
      <c r="AD593">
        <v>0</v>
      </c>
      <c r="AE593">
        <v>0</v>
      </c>
      <c r="AF593">
        <v>0</v>
      </c>
      <c r="AG593">
        <v>0</v>
      </c>
      <c r="AH593">
        <v>0</v>
      </c>
      <c r="AI593">
        <v>0</v>
      </c>
      <c r="AJ593">
        <v>0</v>
      </c>
      <c r="AK593">
        <v>0</v>
      </c>
      <c r="AL593">
        <v>0</v>
      </c>
      <c r="AM593">
        <v>0</v>
      </c>
      <c r="AN593">
        <v>0</v>
      </c>
      <c r="AO593">
        <v>0</v>
      </c>
      <c r="AP593">
        <v>0</v>
      </c>
      <c r="AQ593">
        <v>19.940000000000001</v>
      </c>
      <c r="AR593">
        <v>0</v>
      </c>
      <c r="AS593">
        <v>0</v>
      </c>
      <c r="AT593">
        <v>0</v>
      </c>
      <c r="AU593">
        <v>0</v>
      </c>
      <c r="AV593">
        <v>0</v>
      </c>
      <c r="AW593">
        <v>0</v>
      </c>
      <c r="AX593">
        <v>0</v>
      </c>
      <c r="AY593">
        <v>0</v>
      </c>
      <c r="AZ593">
        <v>0</v>
      </c>
      <c r="BA593">
        <v>0</v>
      </c>
      <c r="BB593">
        <v>0</v>
      </c>
      <c r="BC593">
        <v>0</v>
      </c>
      <c r="BD593">
        <v>0</v>
      </c>
      <c r="BE593">
        <v>0</v>
      </c>
      <c r="BF593">
        <v>0</v>
      </c>
      <c r="BG593">
        <v>0</v>
      </c>
      <c r="BH593">
        <v>1</v>
      </c>
      <c r="BI593">
        <v>1</v>
      </c>
      <c r="BJ593">
        <v>0.2</v>
      </c>
      <c r="BK593">
        <v>1</v>
      </c>
      <c r="BL593">
        <v>59.42</v>
      </c>
      <c r="BM593">
        <v>8.91</v>
      </c>
      <c r="BN593">
        <v>68.33</v>
      </c>
      <c r="BO593">
        <v>68.33</v>
      </c>
      <c r="BQ593" t="s">
        <v>1222</v>
      </c>
      <c r="BR593" t="s">
        <v>82</v>
      </c>
      <c r="BS593" s="3">
        <v>45996</v>
      </c>
      <c r="BT593" s="4">
        <v>0.39583333333333331</v>
      </c>
      <c r="BU593" t="s">
        <v>1223</v>
      </c>
      <c r="BV593" t="s">
        <v>84</v>
      </c>
      <c r="BY593">
        <v>1200</v>
      </c>
      <c r="CA593" t="s">
        <v>507</v>
      </c>
      <c r="CC593" t="s">
        <v>503</v>
      </c>
      <c r="CD593">
        <v>1559</v>
      </c>
      <c r="CE593" t="s">
        <v>134</v>
      </c>
      <c r="CF593" s="3">
        <v>45996</v>
      </c>
      <c r="CI593">
        <v>1</v>
      </c>
      <c r="CJ593">
        <v>1</v>
      </c>
      <c r="CK593">
        <v>22</v>
      </c>
      <c r="CL593" t="s">
        <v>87</v>
      </c>
    </row>
    <row r="594" spans="1:90" x14ac:dyDescent="0.3">
      <c r="A594" t="s">
        <v>72</v>
      </c>
      <c r="B594" t="s">
        <v>73</v>
      </c>
      <c r="C594" t="s">
        <v>74</v>
      </c>
      <c r="E594" t="str">
        <f>"080069676132"</f>
        <v>080069676132</v>
      </c>
      <c r="F594" s="3">
        <v>45995</v>
      </c>
      <c r="G594">
        <v>202609</v>
      </c>
      <c r="H594" t="s">
        <v>75</v>
      </c>
      <c r="I594" t="s">
        <v>76</v>
      </c>
      <c r="J594" t="s">
        <v>77</v>
      </c>
      <c r="K594" t="s">
        <v>78</v>
      </c>
      <c r="L594" t="s">
        <v>241</v>
      </c>
      <c r="M594" t="s">
        <v>242</v>
      </c>
      <c r="N594" t="s">
        <v>243</v>
      </c>
      <c r="O594" t="s">
        <v>89</v>
      </c>
      <c r="P594" t="str">
        <f>"4170071864                    "</f>
        <v xml:space="preserve">4170071864                    </v>
      </c>
      <c r="Q594">
        <v>0</v>
      </c>
      <c r="R594">
        <v>0</v>
      </c>
      <c r="S594">
        <v>0</v>
      </c>
      <c r="T594">
        <v>0</v>
      </c>
      <c r="U594">
        <v>0</v>
      </c>
      <c r="V594">
        <v>0</v>
      </c>
      <c r="W594">
        <v>0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0</v>
      </c>
      <c r="AD594">
        <v>0</v>
      </c>
      <c r="AE594">
        <v>0</v>
      </c>
      <c r="AF594">
        <v>0</v>
      </c>
      <c r="AG594">
        <v>0</v>
      </c>
      <c r="AH594">
        <v>0</v>
      </c>
      <c r="AI594">
        <v>0</v>
      </c>
      <c r="AJ594">
        <v>0</v>
      </c>
      <c r="AK594">
        <v>0</v>
      </c>
      <c r="AL594">
        <v>0</v>
      </c>
      <c r="AM594">
        <v>0</v>
      </c>
      <c r="AN594">
        <v>0</v>
      </c>
      <c r="AO594">
        <v>0</v>
      </c>
      <c r="AP594">
        <v>0</v>
      </c>
      <c r="AQ594">
        <v>25.52</v>
      </c>
      <c r="AR594">
        <v>0</v>
      </c>
      <c r="AS594">
        <v>0</v>
      </c>
      <c r="AT594">
        <v>0</v>
      </c>
      <c r="AU594">
        <v>0</v>
      </c>
      <c r="AV594">
        <v>0</v>
      </c>
      <c r="AW594">
        <v>0</v>
      </c>
      <c r="AX594">
        <v>0</v>
      </c>
      <c r="AY594">
        <v>0</v>
      </c>
      <c r="AZ594">
        <v>0</v>
      </c>
      <c r="BA594">
        <v>0</v>
      </c>
      <c r="BB594">
        <v>0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1</v>
      </c>
      <c r="BI594">
        <v>2</v>
      </c>
      <c r="BJ594">
        <v>1.8</v>
      </c>
      <c r="BK594">
        <v>2</v>
      </c>
      <c r="BL594">
        <v>76.06</v>
      </c>
      <c r="BM594">
        <v>11.41</v>
      </c>
      <c r="BN594">
        <v>87.47</v>
      </c>
      <c r="BO594">
        <v>87.47</v>
      </c>
      <c r="BQ594" t="s">
        <v>244</v>
      </c>
      <c r="BR594" t="s">
        <v>82</v>
      </c>
      <c r="BS594" s="3">
        <v>45996</v>
      </c>
      <c r="BT594" s="4">
        <v>0.41666666666666669</v>
      </c>
      <c r="BU594" t="s">
        <v>1301</v>
      </c>
      <c r="BV594" t="s">
        <v>84</v>
      </c>
      <c r="BY594">
        <v>8816</v>
      </c>
      <c r="CA594" t="s">
        <v>1225</v>
      </c>
      <c r="CC594" t="s">
        <v>242</v>
      </c>
      <c r="CD594">
        <v>4300</v>
      </c>
      <c r="CE594" t="s">
        <v>86</v>
      </c>
      <c r="CF594" s="3">
        <v>45997</v>
      </c>
      <c r="CI594">
        <v>1</v>
      </c>
      <c r="CJ594">
        <v>1</v>
      </c>
      <c r="CK594">
        <v>21</v>
      </c>
      <c r="CL594" t="s">
        <v>87</v>
      </c>
    </row>
    <row r="595" spans="1:90" x14ac:dyDescent="0.3">
      <c r="A595" t="s">
        <v>72</v>
      </c>
      <c r="B595" t="s">
        <v>73</v>
      </c>
      <c r="C595" t="s">
        <v>74</v>
      </c>
      <c r="E595" t="str">
        <f>"080069676133"</f>
        <v>080069676133</v>
      </c>
      <c r="F595" s="3">
        <v>45995</v>
      </c>
      <c r="G595">
        <v>202609</v>
      </c>
      <c r="H595" t="s">
        <v>75</v>
      </c>
      <c r="I595" t="s">
        <v>76</v>
      </c>
      <c r="J595" t="s">
        <v>77</v>
      </c>
      <c r="K595" t="s">
        <v>78</v>
      </c>
      <c r="L595" t="s">
        <v>75</v>
      </c>
      <c r="M595" t="s">
        <v>76</v>
      </c>
      <c r="N595" t="s">
        <v>328</v>
      </c>
      <c r="O595" t="s">
        <v>89</v>
      </c>
      <c r="P595" t="str">
        <f>"4170071871                    "</f>
        <v xml:space="preserve">4170071871                    </v>
      </c>
      <c r="Q595">
        <v>0</v>
      </c>
      <c r="R595">
        <v>0</v>
      </c>
      <c r="S595">
        <v>0</v>
      </c>
      <c r="T595">
        <v>0</v>
      </c>
      <c r="U595">
        <v>0</v>
      </c>
      <c r="V595">
        <v>0</v>
      </c>
      <c r="W595">
        <v>0</v>
      </c>
      <c r="X595">
        <v>0</v>
      </c>
      <c r="Y595">
        <v>0</v>
      </c>
      <c r="Z595">
        <v>0</v>
      </c>
      <c r="AA595">
        <v>0</v>
      </c>
      <c r="AB595">
        <v>0</v>
      </c>
      <c r="AC595">
        <v>0</v>
      </c>
      <c r="AD595">
        <v>0</v>
      </c>
      <c r="AE595">
        <v>0</v>
      </c>
      <c r="AF595">
        <v>0</v>
      </c>
      <c r="AG595">
        <v>0</v>
      </c>
      <c r="AH595">
        <v>0</v>
      </c>
      <c r="AI595">
        <v>0</v>
      </c>
      <c r="AJ595">
        <v>0</v>
      </c>
      <c r="AK595">
        <v>0</v>
      </c>
      <c r="AL595">
        <v>0</v>
      </c>
      <c r="AM595">
        <v>0</v>
      </c>
      <c r="AN595">
        <v>0</v>
      </c>
      <c r="AO595">
        <v>0</v>
      </c>
      <c r="AP595">
        <v>0</v>
      </c>
      <c r="AQ595">
        <v>19.940000000000001</v>
      </c>
      <c r="AR595">
        <v>0</v>
      </c>
      <c r="AS595">
        <v>0</v>
      </c>
      <c r="AT595">
        <v>0</v>
      </c>
      <c r="AU595">
        <v>0</v>
      </c>
      <c r="AV595">
        <v>0</v>
      </c>
      <c r="AW595">
        <v>0</v>
      </c>
      <c r="AX595">
        <v>0</v>
      </c>
      <c r="AY595">
        <v>0</v>
      </c>
      <c r="AZ595">
        <v>0</v>
      </c>
      <c r="BA595">
        <v>0</v>
      </c>
      <c r="BB595">
        <v>0</v>
      </c>
      <c r="BC595">
        <v>0</v>
      </c>
      <c r="BD595">
        <v>0</v>
      </c>
      <c r="BE595">
        <v>0</v>
      </c>
      <c r="BF595">
        <v>0</v>
      </c>
      <c r="BG595">
        <v>0</v>
      </c>
      <c r="BH595">
        <v>1</v>
      </c>
      <c r="BI595">
        <v>1</v>
      </c>
      <c r="BJ595">
        <v>0.2</v>
      </c>
      <c r="BK595">
        <v>1</v>
      </c>
      <c r="BL595">
        <v>59.42</v>
      </c>
      <c r="BM595">
        <v>8.91</v>
      </c>
      <c r="BN595">
        <v>68.33</v>
      </c>
      <c r="BO595">
        <v>68.33</v>
      </c>
      <c r="BQ595" t="s">
        <v>329</v>
      </c>
      <c r="BR595" t="s">
        <v>82</v>
      </c>
      <c r="BS595" s="3">
        <v>45996</v>
      </c>
      <c r="BT595" s="4">
        <v>0.38263888888888886</v>
      </c>
      <c r="BU595" t="s">
        <v>330</v>
      </c>
      <c r="BV595" t="s">
        <v>84</v>
      </c>
      <c r="BY595">
        <v>1200</v>
      </c>
      <c r="CA595" t="s">
        <v>331</v>
      </c>
      <c r="CC595" t="s">
        <v>76</v>
      </c>
      <c r="CD595">
        <v>1645</v>
      </c>
      <c r="CE595" t="s">
        <v>134</v>
      </c>
      <c r="CF595" s="3">
        <v>45996</v>
      </c>
      <c r="CI595">
        <v>1</v>
      </c>
      <c r="CJ595">
        <v>1</v>
      </c>
      <c r="CK595">
        <v>22</v>
      </c>
      <c r="CL595" t="s">
        <v>87</v>
      </c>
    </row>
    <row r="596" spans="1:90" x14ac:dyDescent="0.3">
      <c r="A596" t="s">
        <v>72</v>
      </c>
      <c r="B596" t="s">
        <v>73</v>
      </c>
      <c r="C596" t="s">
        <v>74</v>
      </c>
      <c r="E596" t="str">
        <f>"080069676166"</f>
        <v>080069676166</v>
      </c>
      <c r="F596" s="3">
        <v>45995</v>
      </c>
      <c r="G596">
        <v>202609</v>
      </c>
      <c r="H596" t="s">
        <v>75</v>
      </c>
      <c r="I596" t="s">
        <v>76</v>
      </c>
      <c r="J596" t="s">
        <v>77</v>
      </c>
      <c r="K596" t="s">
        <v>78</v>
      </c>
      <c r="L596" t="s">
        <v>120</v>
      </c>
      <c r="M596" t="s">
        <v>121</v>
      </c>
      <c r="N596" t="s">
        <v>163</v>
      </c>
      <c r="O596" t="s">
        <v>89</v>
      </c>
      <c r="P596" t="str">
        <f>"4170071913                    "</f>
        <v xml:space="preserve">4170071913                    </v>
      </c>
      <c r="Q596">
        <v>0</v>
      </c>
      <c r="R596">
        <v>0</v>
      </c>
      <c r="S596">
        <v>0</v>
      </c>
      <c r="T596">
        <v>0</v>
      </c>
      <c r="U596">
        <v>0</v>
      </c>
      <c r="V596">
        <v>0</v>
      </c>
      <c r="W596">
        <v>0</v>
      </c>
      <c r="X596">
        <v>0</v>
      </c>
      <c r="Y596">
        <v>0</v>
      </c>
      <c r="Z596">
        <v>0</v>
      </c>
      <c r="AA596">
        <v>0</v>
      </c>
      <c r="AB596">
        <v>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0</v>
      </c>
      <c r="AJ596">
        <v>0</v>
      </c>
      <c r="AK596">
        <v>0</v>
      </c>
      <c r="AL596">
        <v>0</v>
      </c>
      <c r="AM596">
        <v>0</v>
      </c>
      <c r="AN596">
        <v>0</v>
      </c>
      <c r="AO596">
        <v>0</v>
      </c>
      <c r="AP596">
        <v>0</v>
      </c>
      <c r="AQ596">
        <v>25.52</v>
      </c>
      <c r="AR596">
        <v>0</v>
      </c>
      <c r="AS596">
        <v>0</v>
      </c>
      <c r="AT596">
        <v>0</v>
      </c>
      <c r="AU596">
        <v>0</v>
      </c>
      <c r="AV596">
        <v>0</v>
      </c>
      <c r="AW596">
        <v>0</v>
      </c>
      <c r="AX596">
        <v>0</v>
      </c>
      <c r="AY596">
        <v>0</v>
      </c>
      <c r="AZ596">
        <v>0</v>
      </c>
      <c r="BA596">
        <v>0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  <c r="BH596">
        <v>1</v>
      </c>
      <c r="BI596">
        <v>1</v>
      </c>
      <c r="BJ596">
        <v>0.2</v>
      </c>
      <c r="BK596">
        <v>1</v>
      </c>
      <c r="BL596">
        <v>76.06</v>
      </c>
      <c r="BM596">
        <v>11.41</v>
      </c>
      <c r="BN596">
        <v>87.47</v>
      </c>
      <c r="BO596">
        <v>87.47</v>
      </c>
      <c r="BQ596" t="s">
        <v>164</v>
      </c>
      <c r="BR596" t="s">
        <v>82</v>
      </c>
      <c r="BS596" s="3">
        <v>45996</v>
      </c>
      <c r="BT596" s="4">
        <v>0.39930555555555558</v>
      </c>
      <c r="BU596" t="s">
        <v>165</v>
      </c>
      <c r="BV596" t="s">
        <v>84</v>
      </c>
      <c r="BY596">
        <v>1200</v>
      </c>
      <c r="CA596" t="s">
        <v>126</v>
      </c>
      <c r="CC596" t="s">
        <v>121</v>
      </c>
      <c r="CD596">
        <v>6230</v>
      </c>
      <c r="CE596" t="s">
        <v>134</v>
      </c>
      <c r="CF596" s="3">
        <v>45996</v>
      </c>
      <c r="CI596">
        <v>1</v>
      </c>
      <c r="CJ596">
        <v>1</v>
      </c>
      <c r="CK596">
        <v>21</v>
      </c>
      <c r="CL596" t="s">
        <v>87</v>
      </c>
    </row>
    <row r="597" spans="1:90" x14ac:dyDescent="0.3">
      <c r="A597" t="s">
        <v>72</v>
      </c>
      <c r="B597" t="s">
        <v>73</v>
      </c>
      <c r="C597" t="s">
        <v>74</v>
      </c>
      <c r="E597" t="str">
        <f>"080069676189"</f>
        <v>080069676189</v>
      </c>
      <c r="F597" s="3">
        <v>45995</v>
      </c>
      <c r="G597">
        <v>202609</v>
      </c>
      <c r="H597" t="s">
        <v>75</v>
      </c>
      <c r="I597" t="s">
        <v>76</v>
      </c>
      <c r="J597" t="s">
        <v>77</v>
      </c>
      <c r="K597" t="s">
        <v>78</v>
      </c>
      <c r="L597" t="s">
        <v>1041</v>
      </c>
      <c r="M597" t="s">
        <v>1042</v>
      </c>
      <c r="N597" t="s">
        <v>1043</v>
      </c>
      <c r="O597" t="s">
        <v>89</v>
      </c>
      <c r="P597" t="str">
        <f>"4170071847                    "</f>
        <v xml:space="preserve">4170071847                    </v>
      </c>
      <c r="Q597">
        <v>0</v>
      </c>
      <c r="R597">
        <v>0</v>
      </c>
      <c r="S597">
        <v>0</v>
      </c>
      <c r="T597">
        <v>0</v>
      </c>
      <c r="U597">
        <v>0</v>
      </c>
      <c r="V597">
        <v>0</v>
      </c>
      <c r="W597">
        <v>0</v>
      </c>
      <c r="X597">
        <v>0</v>
      </c>
      <c r="Y597">
        <v>0</v>
      </c>
      <c r="Z597">
        <v>0</v>
      </c>
      <c r="AA597">
        <v>0</v>
      </c>
      <c r="AB597">
        <v>0</v>
      </c>
      <c r="AC597">
        <v>0</v>
      </c>
      <c r="AD597">
        <v>0</v>
      </c>
      <c r="AE597">
        <v>0</v>
      </c>
      <c r="AF597">
        <v>0</v>
      </c>
      <c r="AG597">
        <v>0</v>
      </c>
      <c r="AH597">
        <v>0</v>
      </c>
      <c r="AI597">
        <v>0</v>
      </c>
      <c r="AJ597">
        <v>0</v>
      </c>
      <c r="AK597">
        <v>0</v>
      </c>
      <c r="AL597">
        <v>0</v>
      </c>
      <c r="AM597">
        <v>0</v>
      </c>
      <c r="AN597">
        <v>0</v>
      </c>
      <c r="AO597">
        <v>0</v>
      </c>
      <c r="AP597">
        <v>0</v>
      </c>
      <c r="AQ597">
        <v>49.45</v>
      </c>
      <c r="AR597">
        <v>0</v>
      </c>
      <c r="AS597">
        <v>0</v>
      </c>
      <c r="AT597">
        <v>0</v>
      </c>
      <c r="AU597">
        <v>0</v>
      </c>
      <c r="AV597">
        <v>0</v>
      </c>
      <c r="AW597">
        <v>0</v>
      </c>
      <c r="AX597">
        <v>0</v>
      </c>
      <c r="AY597">
        <v>0</v>
      </c>
      <c r="AZ597">
        <v>0</v>
      </c>
      <c r="BA597">
        <v>0</v>
      </c>
      <c r="BB597">
        <v>0</v>
      </c>
      <c r="BC597">
        <v>0</v>
      </c>
      <c r="BD597">
        <v>0</v>
      </c>
      <c r="BE597">
        <v>0</v>
      </c>
      <c r="BF597">
        <v>0</v>
      </c>
      <c r="BG597">
        <v>0</v>
      </c>
      <c r="BH597">
        <v>1</v>
      </c>
      <c r="BI597">
        <v>1</v>
      </c>
      <c r="BJ597">
        <v>0.2</v>
      </c>
      <c r="BK597">
        <v>1</v>
      </c>
      <c r="BL597">
        <v>147.38</v>
      </c>
      <c r="BM597">
        <v>22.11</v>
      </c>
      <c r="BN597">
        <v>169.49</v>
      </c>
      <c r="BO597">
        <v>169.49</v>
      </c>
      <c r="BQ597" t="s">
        <v>1044</v>
      </c>
      <c r="BR597" t="s">
        <v>82</v>
      </c>
      <c r="BS597" s="3">
        <v>45996</v>
      </c>
      <c r="BT597" s="4">
        <v>0.48888888888888887</v>
      </c>
      <c r="BU597" t="s">
        <v>1045</v>
      </c>
      <c r="BV597" t="s">
        <v>84</v>
      </c>
      <c r="BY597">
        <v>1200</v>
      </c>
      <c r="CA597" t="s">
        <v>1046</v>
      </c>
      <c r="CC597" t="s">
        <v>1042</v>
      </c>
      <c r="CD597">
        <v>5257</v>
      </c>
      <c r="CE597" t="s">
        <v>134</v>
      </c>
      <c r="CF597" s="3">
        <v>45999</v>
      </c>
      <c r="CI597">
        <v>1</v>
      </c>
      <c r="CJ597">
        <v>1</v>
      </c>
      <c r="CK597">
        <v>23</v>
      </c>
      <c r="CL597" t="s">
        <v>87</v>
      </c>
    </row>
    <row r="598" spans="1:90" x14ac:dyDescent="0.3">
      <c r="A598" t="s">
        <v>72</v>
      </c>
      <c r="B598" t="s">
        <v>73</v>
      </c>
      <c r="C598" t="s">
        <v>74</v>
      </c>
      <c r="E598" t="str">
        <f>"080069676186"</f>
        <v>080069676186</v>
      </c>
      <c r="F598" s="3">
        <v>45995</v>
      </c>
      <c r="G598">
        <v>202609</v>
      </c>
      <c r="H598" t="s">
        <v>75</v>
      </c>
      <c r="I598" t="s">
        <v>76</v>
      </c>
      <c r="J598" t="s">
        <v>77</v>
      </c>
      <c r="K598" t="s">
        <v>78</v>
      </c>
      <c r="L598" t="s">
        <v>100</v>
      </c>
      <c r="M598" t="s">
        <v>101</v>
      </c>
      <c r="N598" t="s">
        <v>1323</v>
      </c>
      <c r="O598" t="s">
        <v>89</v>
      </c>
      <c r="P598" t="str">
        <f>"4170071910                    "</f>
        <v xml:space="preserve">4170071910                    </v>
      </c>
      <c r="Q598">
        <v>0</v>
      </c>
      <c r="R598">
        <v>0</v>
      </c>
      <c r="S598">
        <v>0</v>
      </c>
      <c r="T598">
        <v>0</v>
      </c>
      <c r="U598">
        <v>0</v>
      </c>
      <c r="V598">
        <v>0</v>
      </c>
      <c r="W598">
        <v>0</v>
      </c>
      <c r="X598">
        <v>0</v>
      </c>
      <c r="Y598">
        <v>0</v>
      </c>
      <c r="Z598">
        <v>0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0</v>
      </c>
      <c r="AI598">
        <v>0</v>
      </c>
      <c r="AJ598">
        <v>0</v>
      </c>
      <c r="AK598">
        <v>0</v>
      </c>
      <c r="AL598">
        <v>0</v>
      </c>
      <c r="AM598">
        <v>0</v>
      </c>
      <c r="AN598">
        <v>0</v>
      </c>
      <c r="AO598">
        <v>0</v>
      </c>
      <c r="AP598">
        <v>0</v>
      </c>
      <c r="AQ598">
        <v>102.06</v>
      </c>
      <c r="AR598">
        <v>0</v>
      </c>
      <c r="AS598">
        <v>0</v>
      </c>
      <c r="AT598">
        <v>0</v>
      </c>
      <c r="AU598">
        <v>0</v>
      </c>
      <c r="AV598">
        <v>0</v>
      </c>
      <c r="AW598">
        <v>0</v>
      </c>
      <c r="AX598">
        <v>0</v>
      </c>
      <c r="AY598">
        <v>0</v>
      </c>
      <c r="AZ598">
        <v>0</v>
      </c>
      <c r="BA598">
        <v>0</v>
      </c>
      <c r="BB598">
        <v>0</v>
      </c>
      <c r="BC598">
        <v>0</v>
      </c>
      <c r="BD598">
        <v>0</v>
      </c>
      <c r="BE598">
        <v>0</v>
      </c>
      <c r="BF598">
        <v>0</v>
      </c>
      <c r="BG598">
        <v>0</v>
      </c>
      <c r="BH598">
        <v>2</v>
      </c>
      <c r="BI598">
        <v>8</v>
      </c>
      <c r="BJ598">
        <v>3.5</v>
      </c>
      <c r="BK598">
        <v>8</v>
      </c>
      <c r="BL598">
        <v>304.16000000000003</v>
      </c>
      <c r="BM598">
        <v>45.62</v>
      </c>
      <c r="BN598">
        <v>349.78</v>
      </c>
      <c r="BO598">
        <v>349.78</v>
      </c>
      <c r="BQ598" t="s">
        <v>1324</v>
      </c>
      <c r="BR598" t="s">
        <v>82</v>
      </c>
      <c r="BS598" s="3">
        <v>45996</v>
      </c>
      <c r="BT598" s="4">
        <v>0.53055555555555556</v>
      </c>
      <c r="BU598" t="s">
        <v>1325</v>
      </c>
      <c r="BV598" t="s">
        <v>87</v>
      </c>
      <c r="BW598" t="s">
        <v>246</v>
      </c>
      <c r="BX598" t="s">
        <v>106</v>
      </c>
      <c r="BY598">
        <v>8816</v>
      </c>
      <c r="CA598" t="s">
        <v>1326</v>
      </c>
      <c r="CC598" t="s">
        <v>101</v>
      </c>
      <c r="CD598">
        <v>4000</v>
      </c>
      <c r="CE598" t="s">
        <v>956</v>
      </c>
      <c r="CF598" s="3">
        <v>45997</v>
      </c>
      <c r="CI598">
        <v>1</v>
      </c>
      <c r="CJ598">
        <v>1</v>
      </c>
      <c r="CK598">
        <v>21</v>
      </c>
      <c r="CL598" t="s">
        <v>87</v>
      </c>
    </row>
    <row r="599" spans="1:90" x14ac:dyDescent="0.3">
      <c r="A599" t="s">
        <v>72</v>
      </c>
      <c r="B599" t="s">
        <v>73</v>
      </c>
      <c r="C599" t="s">
        <v>74</v>
      </c>
      <c r="E599" t="str">
        <f>"080069676252"</f>
        <v>080069676252</v>
      </c>
      <c r="F599" s="3">
        <v>45995</v>
      </c>
      <c r="G599">
        <v>202609</v>
      </c>
      <c r="H599" t="s">
        <v>75</v>
      </c>
      <c r="I599" t="s">
        <v>76</v>
      </c>
      <c r="J599" t="s">
        <v>77</v>
      </c>
      <c r="K599" t="s">
        <v>78</v>
      </c>
      <c r="L599" t="s">
        <v>265</v>
      </c>
      <c r="M599" t="s">
        <v>266</v>
      </c>
      <c r="N599" t="s">
        <v>1327</v>
      </c>
      <c r="O599" t="s">
        <v>89</v>
      </c>
      <c r="P599" t="str">
        <f>"4170071909                    "</f>
        <v xml:space="preserve">4170071909                    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0</v>
      </c>
      <c r="X599">
        <v>0</v>
      </c>
      <c r="Y599">
        <v>0</v>
      </c>
      <c r="Z599">
        <v>0</v>
      </c>
      <c r="AA599">
        <v>0</v>
      </c>
      <c r="AB599">
        <v>0</v>
      </c>
      <c r="AC599">
        <v>0</v>
      </c>
      <c r="AD599">
        <v>0</v>
      </c>
      <c r="AE599">
        <v>0</v>
      </c>
      <c r="AF599">
        <v>0</v>
      </c>
      <c r="AG599">
        <v>0</v>
      </c>
      <c r="AH599">
        <v>0</v>
      </c>
      <c r="AI599">
        <v>0</v>
      </c>
      <c r="AJ599">
        <v>0</v>
      </c>
      <c r="AK599">
        <v>0</v>
      </c>
      <c r="AL599">
        <v>0</v>
      </c>
      <c r="AM599">
        <v>0</v>
      </c>
      <c r="AN599">
        <v>0</v>
      </c>
      <c r="AO599">
        <v>0</v>
      </c>
      <c r="AP599">
        <v>0</v>
      </c>
      <c r="AQ599">
        <v>19.940000000000001</v>
      </c>
      <c r="AR599">
        <v>0</v>
      </c>
      <c r="AS599">
        <v>0</v>
      </c>
      <c r="AT599">
        <v>0</v>
      </c>
      <c r="AU599">
        <v>0</v>
      </c>
      <c r="AV599">
        <v>0</v>
      </c>
      <c r="AW599">
        <v>0</v>
      </c>
      <c r="AX599">
        <v>0</v>
      </c>
      <c r="AY599">
        <v>0</v>
      </c>
      <c r="AZ599">
        <v>0</v>
      </c>
      <c r="BA599">
        <v>0</v>
      </c>
      <c r="BB599">
        <v>0</v>
      </c>
      <c r="BC599">
        <v>0</v>
      </c>
      <c r="BD599">
        <v>0</v>
      </c>
      <c r="BE599">
        <v>0</v>
      </c>
      <c r="BF599">
        <v>0</v>
      </c>
      <c r="BG599">
        <v>0</v>
      </c>
      <c r="BH599">
        <v>1</v>
      </c>
      <c r="BI599">
        <v>3</v>
      </c>
      <c r="BJ599">
        <v>1.1000000000000001</v>
      </c>
      <c r="BK599">
        <v>3</v>
      </c>
      <c r="BL599">
        <v>59.42</v>
      </c>
      <c r="BM599">
        <v>8.91</v>
      </c>
      <c r="BN599">
        <v>68.33</v>
      </c>
      <c r="BO599">
        <v>68.33</v>
      </c>
      <c r="BQ599" t="s">
        <v>1328</v>
      </c>
      <c r="BR599" t="s">
        <v>82</v>
      </c>
      <c r="BS599" s="3">
        <v>45996</v>
      </c>
      <c r="BT599" s="4">
        <v>0.43055555555555558</v>
      </c>
      <c r="BU599" t="s">
        <v>1329</v>
      </c>
      <c r="BV599" t="s">
        <v>84</v>
      </c>
      <c r="BY599">
        <v>5510</v>
      </c>
      <c r="CA599" t="s">
        <v>1330</v>
      </c>
      <c r="CC599" t="s">
        <v>266</v>
      </c>
      <c r="CD599">
        <v>1460</v>
      </c>
      <c r="CE599" t="s">
        <v>86</v>
      </c>
      <c r="CF599" s="3">
        <v>45996</v>
      </c>
      <c r="CI599">
        <v>1</v>
      </c>
      <c r="CJ599">
        <v>1</v>
      </c>
      <c r="CK599">
        <v>22</v>
      </c>
      <c r="CL599" t="s">
        <v>87</v>
      </c>
    </row>
    <row r="600" spans="1:90" x14ac:dyDescent="0.3">
      <c r="A600" t="s">
        <v>72</v>
      </c>
      <c r="B600" t="s">
        <v>73</v>
      </c>
      <c r="C600" t="s">
        <v>74</v>
      </c>
      <c r="E600" t="str">
        <f>"080069676256"</f>
        <v>080069676256</v>
      </c>
      <c r="F600" s="3">
        <v>45995</v>
      </c>
      <c r="G600">
        <v>202609</v>
      </c>
      <c r="H600" t="s">
        <v>75</v>
      </c>
      <c r="I600" t="s">
        <v>76</v>
      </c>
      <c r="J600" t="s">
        <v>77</v>
      </c>
      <c r="K600" t="s">
        <v>78</v>
      </c>
      <c r="L600" t="s">
        <v>302</v>
      </c>
      <c r="M600" t="s">
        <v>303</v>
      </c>
      <c r="N600" t="s">
        <v>425</v>
      </c>
      <c r="O600" t="s">
        <v>89</v>
      </c>
      <c r="P600" t="str">
        <f>"4170071846                    "</f>
        <v xml:space="preserve">4170071846                    </v>
      </c>
      <c r="Q600">
        <v>0</v>
      </c>
      <c r="R600">
        <v>0</v>
      </c>
      <c r="S600">
        <v>0</v>
      </c>
      <c r="T600">
        <v>0</v>
      </c>
      <c r="U600">
        <v>0</v>
      </c>
      <c r="V600">
        <v>0</v>
      </c>
      <c r="W600">
        <v>0</v>
      </c>
      <c r="X600">
        <v>0</v>
      </c>
      <c r="Y600">
        <v>0</v>
      </c>
      <c r="Z600">
        <v>0</v>
      </c>
      <c r="AA600">
        <v>0</v>
      </c>
      <c r="AB600">
        <v>0</v>
      </c>
      <c r="AC600">
        <v>0</v>
      </c>
      <c r="AD600">
        <v>0</v>
      </c>
      <c r="AE600">
        <v>0</v>
      </c>
      <c r="AF600">
        <v>0</v>
      </c>
      <c r="AG600">
        <v>0</v>
      </c>
      <c r="AH600">
        <v>0</v>
      </c>
      <c r="AI600">
        <v>0</v>
      </c>
      <c r="AJ600">
        <v>0</v>
      </c>
      <c r="AK600">
        <v>0</v>
      </c>
      <c r="AL600">
        <v>0</v>
      </c>
      <c r="AM600">
        <v>0</v>
      </c>
      <c r="AN600">
        <v>0</v>
      </c>
      <c r="AO600">
        <v>0</v>
      </c>
      <c r="AP600">
        <v>0</v>
      </c>
      <c r="AQ600">
        <v>25.52</v>
      </c>
      <c r="AR600">
        <v>0</v>
      </c>
      <c r="AS600">
        <v>0</v>
      </c>
      <c r="AT600">
        <v>0</v>
      </c>
      <c r="AU600">
        <v>0</v>
      </c>
      <c r="AV600">
        <v>0</v>
      </c>
      <c r="AW600">
        <v>0</v>
      </c>
      <c r="AX600">
        <v>0</v>
      </c>
      <c r="AY600">
        <v>0</v>
      </c>
      <c r="AZ600">
        <v>0</v>
      </c>
      <c r="BA600">
        <v>0</v>
      </c>
      <c r="BB600">
        <v>0</v>
      </c>
      <c r="BC600">
        <v>0</v>
      </c>
      <c r="BD600">
        <v>0</v>
      </c>
      <c r="BE600">
        <v>0</v>
      </c>
      <c r="BF600">
        <v>0</v>
      </c>
      <c r="BG600">
        <v>0</v>
      </c>
      <c r="BH600">
        <v>1</v>
      </c>
      <c r="BI600">
        <v>1</v>
      </c>
      <c r="BJ600">
        <v>0.2</v>
      </c>
      <c r="BK600">
        <v>1</v>
      </c>
      <c r="BL600">
        <v>76.06</v>
      </c>
      <c r="BM600">
        <v>11.41</v>
      </c>
      <c r="BN600">
        <v>87.47</v>
      </c>
      <c r="BO600">
        <v>87.47</v>
      </c>
      <c r="BQ600" t="s">
        <v>426</v>
      </c>
      <c r="BR600" t="s">
        <v>82</v>
      </c>
      <c r="BS600" s="3">
        <v>45996</v>
      </c>
      <c r="BT600" s="4">
        <v>0.36875000000000002</v>
      </c>
      <c r="BU600" t="s">
        <v>1287</v>
      </c>
      <c r="BV600" t="s">
        <v>84</v>
      </c>
      <c r="BY600">
        <v>1200</v>
      </c>
      <c r="CA600">
        <v>7712195338085</v>
      </c>
      <c r="CC600" t="s">
        <v>303</v>
      </c>
      <c r="CD600" s="5" t="s">
        <v>350</v>
      </c>
      <c r="CE600" t="s">
        <v>134</v>
      </c>
      <c r="CF600" s="3">
        <v>45996</v>
      </c>
      <c r="CI600">
        <v>1</v>
      </c>
      <c r="CJ600">
        <v>1</v>
      </c>
      <c r="CK600">
        <v>21</v>
      </c>
      <c r="CL600" t="s">
        <v>87</v>
      </c>
    </row>
    <row r="601" spans="1:90" x14ac:dyDescent="0.3">
      <c r="A601" t="s">
        <v>72</v>
      </c>
      <c r="B601" t="s">
        <v>73</v>
      </c>
      <c r="C601" t="s">
        <v>74</v>
      </c>
      <c r="E601" t="str">
        <f>"080069676285"</f>
        <v>080069676285</v>
      </c>
      <c r="F601" s="3">
        <v>45995</v>
      </c>
      <c r="G601">
        <v>202609</v>
      </c>
      <c r="H601" t="s">
        <v>75</v>
      </c>
      <c r="I601" t="s">
        <v>76</v>
      </c>
      <c r="J601" t="s">
        <v>77</v>
      </c>
      <c r="K601" t="s">
        <v>78</v>
      </c>
      <c r="L601" t="s">
        <v>535</v>
      </c>
      <c r="M601" t="s">
        <v>535</v>
      </c>
      <c r="N601" t="s">
        <v>556</v>
      </c>
      <c r="O601" t="s">
        <v>89</v>
      </c>
      <c r="P601" t="str">
        <f>"4170071789                    "</f>
        <v xml:space="preserve">4170071789                    </v>
      </c>
      <c r="Q601">
        <v>0</v>
      </c>
      <c r="R601">
        <v>0</v>
      </c>
      <c r="S601">
        <v>0</v>
      </c>
      <c r="T601">
        <v>0</v>
      </c>
      <c r="U601">
        <v>0</v>
      </c>
      <c r="V601">
        <v>0</v>
      </c>
      <c r="W601">
        <v>0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0</v>
      </c>
      <c r="AD601">
        <v>0</v>
      </c>
      <c r="AE601">
        <v>0</v>
      </c>
      <c r="AF601">
        <v>0</v>
      </c>
      <c r="AG601">
        <v>0</v>
      </c>
      <c r="AH601">
        <v>0</v>
      </c>
      <c r="AI601">
        <v>0</v>
      </c>
      <c r="AJ601">
        <v>0</v>
      </c>
      <c r="AK601">
        <v>0</v>
      </c>
      <c r="AL601">
        <v>0</v>
      </c>
      <c r="AM601">
        <v>0</v>
      </c>
      <c r="AN601">
        <v>0</v>
      </c>
      <c r="AO601">
        <v>0</v>
      </c>
      <c r="AP601">
        <v>0</v>
      </c>
      <c r="AQ601">
        <v>49.45</v>
      </c>
      <c r="AR601">
        <v>0</v>
      </c>
      <c r="AS601">
        <v>0</v>
      </c>
      <c r="AT601">
        <v>0</v>
      </c>
      <c r="AU601">
        <v>0</v>
      </c>
      <c r="AV601">
        <v>0</v>
      </c>
      <c r="AW601">
        <v>0</v>
      </c>
      <c r="AX601">
        <v>0</v>
      </c>
      <c r="AY601">
        <v>0</v>
      </c>
      <c r="AZ601">
        <v>0</v>
      </c>
      <c r="BA601">
        <v>0</v>
      </c>
      <c r="BB601">
        <v>0</v>
      </c>
      <c r="BC601">
        <v>0</v>
      </c>
      <c r="BD601">
        <v>0</v>
      </c>
      <c r="BE601">
        <v>0</v>
      </c>
      <c r="BF601">
        <v>0</v>
      </c>
      <c r="BG601">
        <v>0</v>
      </c>
      <c r="BH601">
        <v>1</v>
      </c>
      <c r="BI601">
        <v>1</v>
      </c>
      <c r="BJ601">
        <v>0.2</v>
      </c>
      <c r="BK601">
        <v>1</v>
      </c>
      <c r="BL601">
        <v>147.38</v>
      </c>
      <c r="BM601">
        <v>22.11</v>
      </c>
      <c r="BN601">
        <v>169.49</v>
      </c>
      <c r="BO601">
        <v>169.49</v>
      </c>
      <c r="BQ601" t="s">
        <v>557</v>
      </c>
      <c r="BR601" t="s">
        <v>82</v>
      </c>
      <c r="BS601" s="3">
        <v>45996</v>
      </c>
      <c r="BT601" s="4">
        <v>0.72638888888888886</v>
      </c>
      <c r="BU601" t="s">
        <v>1239</v>
      </c>
      <c r="BV601" t="s">
        <v>87</v>
      </c>
      <c r="BW601" t="s">
        <v>153</v>
      </c>
      <c r="BX601" t="s">
        <v>345</v>
      </c>
      <c r="BY601">
        <v>1200</v>
      </c>
      <c r="CA601" t="s">
        <v>539</v>
      </c>
      <c r="CC601" t="s">
        <v>535</v>
      </c>
      <c r="CD601">
        <v>7646</v>
      </c>
      <c r="CE601" t="s">
        <v>134</v>
      </c>
      <c r="CF601" s="3">
        <v>45999</v>
      </c>
      <c r="CI601">
        <v>1</v>
      </c>
      <c r="CJ601">
        <v>1</v>
      </c>
      <c r="CK601">
        <v>23</v>
      </c>
      <c r="CL601" t="s">
        <v>87</v>
      </c>
    </row>
    <row r="602" spans="1:90" x14ac:dyDescent="0.3">
      <c r="A602" t="s">
        <v>72</v>
      </c>
      <c r="B602" t="s">
        <v>73</v>
      </c>
      <c r="C602" t="s">
        <v>74</v>
      </c>
      <c r="E602" t="str">
        <f>"080069676290"</f>
        <v>080069676290</v>
      </c>
      <c r="F602" s="3">
        <v>45995</v>
      </c>
      <c r="G602">
        <v>202609</v>
      </c>
      <c r="H602" t="s">
        <v>75</v>
      </c>
      <c r="I602" t="s">
        <v>76</v>
      </c>
      <c r="J602" t="s">
        <v>77</v>
      </c>
      <c r="K602" t="s">
        <v>78</v>
      </c>
      <c r="L602" t="s">
        <v>528</v>
      </c>
      <c r="M602" t="s">
        <v>529</v>
      </c>
      <c r="N602" t="s">
        <v>1131</v>
      </c>
      <c r="O602" t="s">
        <v>89</v>
      </c>
      <c r="P602" t="str">
        <f>"4170071887                    "</f>
        <v xml:space="preserve">4170071887                    </v>
      </c>
      <c r="Q602">
        <v>0</v>
      </c>
      <c r="R602">
        <v>0</v>
      </c>
      <c r="S602">
        <v>0</v>
      </c>
      <c r="T602">
        <v>0</v>
      </c>
      <c r="U602">
        <v>0</v>
      </c>
      <c r="V602">
        <v>0</v>
      </c>
      <c r="W602">
        <v>0</v>
      </c>
      <c r="X602">
        <v>0</v>
      </c>
      <c r="Y602">
        <v>0</v>
      </c>
      <c r="Z602">
        <v>0</v>
      </c>
      <c r="AA602">
        <v>0</v>
      </c>
      <c r="AB602">
        <v>0</v>
      </c>
      <c r="AC602">
        <v>0</v>
      </c>
      <c r="AD602">
        <v>0</v>
      </c>
      <c r="AE602">
        <v>0</v>
      </c>
      <c r="AF602">
        <v>0</v>
      </c>
      <c r="AG602">
        <v>0</v>
      </c>
      <c r="AH602">
        <v>0</v>
      </c>
      <c r="AI602">
        <v>0</v>
      </c>
      <c r="AJ602">
        <v>0</v>
      </c>
      <c r="AK602">
        <v>0</v>
      </c>
      <c r="AL602">
        <v>0</v>
      </c>
      <c r="AM602">
        <v>0</v>
      </c>
      <c r="AN602">
        <v>0</v>
      </c>
      <c r="AO602">
        <v>0</v>
      </c>
      <c r="AP602">
        <v>0</v>
      </c>
      <c r="AQ602">
        <v>49.45</v>
      </c>
      <c r="AR602">
        <v>0</v>
      </c>
      <c r="AS602">
        <v>0</v>
      </c>
      <c r="AT602">
        <v>0</v>
      </c>
      <c r="AU602">
        <v>0</v>
      </c>
      <c r="AV602">
        <v>0</v>
      </c>
      <c r="AW602">
        <v>17.41</v>
      </c>
      <c r="AX602">
        <v>0</v>
      </c>
      <c r="AY602">
        <v>0</v>
      </c>
      <c r="AZ602">
        <v>0</v>
      </c>
      <c r="BA602">
        <v>0</v>
      </c>
      <c r="BB602">
        <v>0</v>
      </c>
      <c r="BC602">
        <v>0</v>
      </c>
      <c r="BD602">
        <v>0</v>
      </c>
      <c r="BE602">
        <v>0</v>
      </c>
      <c r="BF602">
        <v>0</v>
      </c>
      <c r="BG602">
        <v>0</v>
      </c>
      <c r="BH602">
        <v>1</v>
      </c>
      <c r="BI602">
        <v>1.1000000000000001</v>
      </c>
      <c r="BJ602">
        <v>1</v>
      </c>
      <c r="BK602">
        <v>1.5</v>
      </c>
      <c r="BL602">
        <v>164.79</v>
      </c>
      <c r="BM602">
        <v>24.72</v>
      </c>
      <c r="BN602">
        <v>189.51</v>
      </c>
      <c r="BO602">
        <v>189.51</v>
      </c>
      <c r="BQ602" t="s">
        <v>1132</v>
      </c>
      <c r="BR602" t="s">
        <v>82</v>
      </c>
      <c r="BS602" s="3">
        <v>45996</v>
      </c>
      <c r="BT602" s="4">
        <v>0.52083333333333337</v>
      </c>
      <c r="BU602" t="s">
        <v>1331</v>
      </c>
      <c r="BV602" t="s">
        <v>84</v>
      </c>
      <c r="BY602">
        <v>5018.66</v>
      </c>
      <c r="BZ602" t="s">
        <v>30</v>
      </c>
      <c r="CC602" t="s">
        <v>529</v>
      </c>
      <c r="CD602" s="5" t="s">
        <v>1134</v>
      </c>
      <c r="CE602" t="s">
        <v>86</v>
      </c>
      <c r="CF602" s="3">
        <v>45999</v>
      </c>
      <c r="CI602">
        <v>1</v>
      </c>
      <c r="CJ602">
        <v>1</v>
      </c>
      <c r="CK602">
        <v>23</v>
      </c>
      <c r="CL602" t="s">
        <v>87</v>
      </c>
    </row>
    <row r="603" spans="1:90" x14ac:dyDescent="0.3">
      <c r="A603" t="s">
        <v>72</v>
      </c>
      <c r="B603" t="s">
        <v>73</v>
      </c>
      <c r="C603" t="s">
        <v>74</v>
      </c>
      <c r="E603" t="str">
        <f>"080069676329"</f>
        <v>080069676329</v>
      </c>
      <c r="F603" s="3">
        <v>45995</v>
      </c>
      <c r="G603">
        <v>202609</v>
      </c>
      <c r="H603" t="s">
        <v>75</v>
      </c>
      <c r="I603" t="s">
        <v>76</v>
      </c>
      <c r="J603" t="s">
        <v>77</v>
      </c>
      <c r="K603" t="s">
        <v>78</v>
      </c>
      <c r="L603" t="s">
        <v>141</v>
      </c>
      <c r="M603" t="s">
        <v>142</v>
      </c>
      <c r="N603" t="s">
        <v>856</v>
      </c>
      <c r="O603" t="s">
        <v>89</v>
      </c>
      <c r="P603" t="str">
        <f>"4170071783                    "</f>
        <v xml:space="preserve">4170071783                    </v>
      </c>
      <c r="Q603">
        <v>0</v>
      </c>
      <c r="R603">
        <v>0</v>
      </c>
      <c r="S603">
        <v>0</v>
      </c>
      <c r="T603">
        <v>0</v>
      </c>
      <c r="U603">
        <v>0</v>
      </c>
      <c r="V603">
        <v>0</v>
      </c>
      <c r="W603">
        <v>0</v>
      </c>
      <c r="X603">
        <v>0</v>
      </c>
      <c r="Y603">
        <v>0</v>
      </c>
      <c r="Z603">
        <v>0</v>
      </c>
      <c r="AA603">
        <v>0</v>
      </c>
      <c r="AB603">
        <v>0</v>
      </c>
      <c r="AC603">
        <v>0</v>
      </c>
      <c r="AD603">
        <v>0</v>
      </c>
      <c r="AE603">
        <v>0</v>
      </c>
      <c r="AF603">
        <v>0</v>
      </c>
      <c r="AG603">
        <v>0</v>
      </c>
      <c r="AH603">
        <v>0</v>
      </c>
      <c r="AI603">
        <v>0</v>
      </c>
      <c r="AJ603">
        <v>0</v>
      </c>
      <c r="AK603">
        <v>0</v>
      </c>
      <c r="AL603">
        <v>0</v>
      </c>
      <c r="AM603">
        <v>0</v>
      </c>
      <c r="AN603">
        <v>0</v>
      </c>
      <c r="AO603">
        <v>0</v>
      </c>
      <c r="AP603">
        <v>0</v>
      </c>
      <c r="AQ603">
        <v>25.52</v>
      </c>
      <c r="AR603">
        <v>0</v>
      </c>
      <c r="AS603">
        <v>0</v>
      </c>
      <c r="AT603">
        <v>0</v>
      </c>
      <c r="AU603">
        <v>0</v>
      </c>
      <c r="AV603">
        <v>0</v>
      </c>
      <c r="AW603">
        <v>0</v>
      </c>
      <c r="AX603">
        <v>0</v>
      </c>
      <c r="AY603">
        <v>0</v>
      </c>
      <c r="AZ603">
        <v>0</v>
      </c>
      <c r="BA603">
        <v>0</v>
      </c>
      <c r="BB603">
        <v>0</v>
      </c>
      <c r="BC603">
        <v>0</v>
      </c>
      <c r="BD603">
        <v>0</v>
      </c>
      <c r="BE603">
        <v>0</v>
      </c>
      <c r="BF603">
        <v>0</v>
      </c>
      <c r="BG603">
        <v>0</v>
      </c>
      <c r="BH603">
        <v>1</v>
      </c>
      <c r="BI603">
        <v>1</v>
      </c>
      <c r="BJ603">
        <v>0.2</v>
      </c>
      <c r="BK603">
        <v>1</v>
      </c>
      <c r="BL603">
        <v>76.06</v>
      </c>
      <c r="BM603">
        <v>11.41</v>
      </c>
      <c r="BN603">
        <v>87.47</v>
      </c>
      <c r="BO603">
        <v>87.47</v>
      </c>
      <c r="BQ603" t="s">
        <v>857</v>
      </c>
      <c r="BR603" t="s">
        <v>82</v>
      </c>
      <c r="BS603" s="3">
        <v>45996</v>
      </c>
      <c r="BT603" s="4">
        <v>0.43125000000000002</v>
      </c>
      <c r="BU603" t="s">
        <v>858</v>
      </c>
      <c r="BV603" t="s">
        <v>84</v>
      </c>
      <c r="BY603">
        <v>1200</v>
      </c>
      <c r="CA603" t="s">
        <v>1228</v>
      </c>
      <c r="CC603" t="s">
        <v>142</v>
      </c>
      <c r="CD603">
        <v>6000</v>
      </c>
      <c r="CE603" t="s">
        <v>134</v>
      </c>
      <c r="CF603" s="3">
        <v>45996</v>
      </c>
      <c r="CI603">
        <v>1</v>
      </c>
      <c r="CJ603">
        <v>1</v>
      </c>
      <c r="CK603">
        <v>21</v>
      </c>
      <c r="CL603" t="s">
        <v>87</v>
      </c>
    </row>
    <row r="604" spans="1:90" x14ac:dyDescent="0.3">
      <c r="A604" t="s">
        <v>72</v>
      </c>
      <c r="B604" t="s">
        <v>73</v>
      </c>
      <c r="C604" t="s">
        <v>74</v>
      </c>
      <c r="E604" t="str">
        <f>"080069676342"</f>
        <v>080069676342</v>
      </c>
      <c r="F604" s="3">
        <v>45995</v>
      </c>
      <c r="G604">
        <v>202609</v>
      </c>
      <c r="H604" t="s">
        <v>75</v>
      </c>
      <c r="I604" t="s">
        <v>76</v>
      </c>
      <c r="J604" t="s">
        <v>77</v>
      </c>
      <c r="K604" t="s">
        <v>78</v>
      </c>
      <c r="L604" t="s">
        <v>465</v>
      </c>
      <c r="M604" t="s">
        <v>466</v>
      </c>
      <c r="N604" t="s">
        <v>1332</v>
      </c>
      <c r="O604" t="s">
        <v>89</v>
      </c>
      <c r="P604" t="str">
        <f>"4170071897                    "</f>
        <v xml:space="preserve">4170071897                    </v>
      </c>
      <c r="Q604">
        <v>0</v>
      </c>
      <c r="R604">
        <v>0</v>
      </c>
      <c r="S604">
        <v>0</v>
      </c>
      <c r="T604">
        <v>0</v>
      </c>
      <c r="U604">
        <v>0</v>
      </c>
      <c r="V604">
        <v>0</v>
      </c>
      <c r="W604">
        <v>0</v>
      </c>
      <c r="X604">
        <v>0</v>
      </c>
      <c r="Y604">
        <v>0</v>
      </c>
      <c r="Z604">
        <v>0</v>
      </c>
      <c r="AA604">
        <v>0</v>
      </c>
      <c r="AB604">
        <v>0</v>
      </c>
      <c r="AC604">
        <v>0</v>
      </c>
      <c r="AD604">
        <v>0</v>
      </c>
      <c r="AE604">
        <v>0</v>
      </c>
      <c r="AF604">
        <v>0</v>
      </c>
      <c r="AG604">
        <v>0</v>
      </c>
      <c r="AH604">
        <v>0</v>
      </c>
      <c r="AI604">
        <v>0</v>
      </c>
      <c r="AJ604">
        <v>0</v>
      </c>
      <c r="AK604">
        <v>0</v>
      </c>
      <c r="AL604">
        <v>0</v>
      </c>
      <c r="AM604">
        <v>0</v>
      </c>
      <c r="AN604">
        <v>0</v>
      </c>
      <c r="AO604">
        <v>0</v>
      </c>
      <c r="AP604">
        <v>0</v>
      </c>
      <c r="AQ604">
        <v>19.940000000000001</v>
      </c>
      <c r="AR604">
        <v>0</v>
      </c>
      <c r="AS604">
        <v>0</v>
      </c>
      <c r="AT604">
        <v>0</v>
      </c>
      <c r="AU604">
        <v>0</v>
      </c>
      <c r="AV604">
        <v>0</v>
      </c>
      <c r="AW604">
        <v>0</v>
      </c>
      <c r="AX604">
        <v>0</v>
      </c>
      <c r="AY604">
        <v>0</v>
      </c>
      <c r="AZ604">
        <v>0</v>
      </c>
      <c r="BA604">
        <v>0</v>
      </c>
      <c r="BB604">
        <v>0</v>
      </c>
      <c r="BC604">
        <v>0</v>
      </c>
      <c r="BD604">
        <v>0</v>
      </c>
      <c r="BE604">
        <v>0</v>
      </c>
      <c r="BF604">
        <v>0</v>
      </c>
      <c r="BG604">
        <v>0</v>
      </c>
      <c r="BH604">
        <v>1</v>
      </c>
      <c r="BI604">
        <v>1.9</v>
      </c>
      <c r="BJ604">
        <v>0.9</v>
      </c>
      <c r="BK604">
        <v>2</v>
      </c>
      <c r="BL604">
        <v>59.42</v>
      </c>
      <c r="BM604">
        <v>8.91</v>
      </c>
      <c r="BN604">
        <v>68.33</v>
      </c>
      <c r="BO604">
        <v>68.33</v>
      </c>
      <c r="BQ604" t="s">
        <v>1333</v>
      </c>
      <c r="BR604" t="s">
        <v>82</v>
      </c>
      <c r="BS604" s="3">
        <v>45996</v>
      </c>
      <c r="BT604" s="4">
        <v>0.3972222222222222</v>
      </c>
      <c r="BU604" t="s">
        <v>1334</v>
      </c>
      <c r="BV604" t="s">
        <v>84</v>
      </c>
      <c r="BY604">
        <v>4686.84</v>
      </c>
      <c r="CA604" t="s">
        <v>497</v>
      </c>
      <c r="CC604" t="s">
        <v>466</v>
      </c>
      <c r="CD604">
        <v>1406</v>
      </c>
      <c r="CE604" t="s">
        <v>86</v>
      </c>
      <c r="CF604" s="3">
        <v>45997</v>
      </c>
      <c r="CI604">
        <v>1</v>
      </c>
      <c r="CJ604">
        <v>1</v>
      </c>
      <c r="CK604">
        <v>22</v>
      </c>
      <c r="CL604" t="s">
        <v>87</v>
      </c>
    </row>
    <row r="605" spans="1:90" x14ac:dyDescent="0.3">
      <c r="A605" t="s">
        <v>72</v>
      </c>
      <c r="B605" t="s">
        <v>73</v>
      </c>
      <c r="C605" t="s">
        <v>74</v>
      </c>
      <c r="E605" t="str">
        <f>"080069676348"</f>
        <v>080069676348</v>
      </c>
      <c r="F605" s="3">
        <v>45995</v>
      </c>
      <c r="G605">
        <v>202609</v>
      </c>
      <c r="H605" t="s">
        <v>75</v>
      </c>
      <c r="I605" t="s">
        <v>76</v>
      </c>
      <c r="J605" t="s">
        <v>77</v>
      </c>
      <c r="K605" t="s">
        <v>78</v>
      </c>
      <c r="L605" t="s">
        <v>389</v>
      </c>
      <c r="M605" t="s">
        <v>390</v>
      </c>
      <c r="N605" t="s">
        <v>1090</v>
      </c>
      <c r="O605" t="s">
        <v>89</v>
      </c>
      <c r="P605" t="str">
        <f>"4170071845                    "</f>
        <v xml:space="preserve">4170071845                    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0</v>
      </c>
      <c r="X605">
        <v>0</v>
      </c>
      <c r="Y605">
        <v>0</v>
      </c>
      <c r="Z605">
        <v>0</v>
      </c>
      <c r="AA605">
        <v>0</v>
      </c>
      <c r="AB605">
        <v>0</v>
      </c>
      <c r="AC605">
        <v>0</v>
      </c>
      <c r="AD605">
        <v>0</v>
      </c>
      <c r="AE605">
        <v>0</v>
      </c>
      <c r="AF605">
        <v>0</v>
      </c>
      <c r="AG605">
        <v>0</v>
      </c>
      <c r="AH605">
        <v>0</v>
      </c>
      <c r="AI605">
        <v>0</v>
      </c>
      <c r="AJ605">
        <v>0</v>
      </c>
      <c r="AK605">
        <v>0</v>
      </c>
      <c r="AL605">
        <v>0</v>
      </c>
      <c r="AM605">
        <v>0</v>
      </c>
      <c r="AN605">
        <v>0</v>
      </c>
      <c r="AO605">
        <v>0</v>
      </c>
      <c r="AP605">
        <v>0</v>
      </c>
      <c r="AQ605">
        <v>49.45</v>
      </c>
      <c r="AR605">
        <v>0</v>
      </c>
      <c r="AS605">
        <v>0</v>
      </c>
      <c r="AT605">
        <v>0</v>
      </c>
      <c r="AU605">
        <v>0</v>
      </c>
      <c r="AV605">
        <v>0</v>
      </c>
      <c r="AW605">
        <v>0</v>
      </c>
      <c r="AX605">
        <v>0</v>
      </c>
      <c r="AY605">
        <v>0</v>
      </c>
      <c r="AZ605">
        <v>0</v>
      </c>
      <c r="BA605">
        <v>0</v>
      </c>
      <c r="BB605">
        <v>0</v>
      </c>
      <c r="BC605">
        <v>0</v>
      </c>
      <c r="BD605">
        <v>0</v>
      </c>
      <c r="BE605">
        <v>0</v>
      </c>
      <c r="BF605">
        <v>0</v>
      </c>
      <c r="BG605">
        <v>0</v>
      </c>
      <c r="BH605">
        <v>1</v>
      </c>
      <c r="BI605">
        <v>1</v>
      </c>
      <c r="BJ605">
        <v>0.2</v>
      </c>
      <c r="BK605">
        <v>1</v>
      </c>
      <c r="BL605">
        <v>147.38</v>
      </c>
      <c r="BM605">
        <v>22.11</v>
      </c>
      <c r="BN605">
        <v>169.49</v>
      </c>
      <c r="BO605">
        <v>169.49</v>
      </c>
      <c r="BQ605" t="s">
        <v>1091</v>
      </c>
      <c r="BR605" t="s">
        <v>82</v>
      </c>
      <c r="BS605" s="3">
        <v>45996</v>
      </c>
      <c r="BT605" s="4">
        <v>0.42777777777777776</v>
      </c>
      <c r="BU605" t="s">
        <v>1335</v>
      </c>
      <c r="BV605" t="s">
        <v>84</v>
      </c>
      <c r="BY605">
        <v>1200</v>
      </c>
      <c r="CA605">
        <v>7601035402088</v>
      </c>
      <c r="CC605" t="s">
        <v>390</v>
      </c>
      <c r="CD605" s="5" t="s">
        <v>395</v>
      </c>
      <c r="CE605" t="s">
        <v>134</v>
      </c>
      <c r="CF605" s="3">
        <v>45997</v>
      </c>
      <c r="CI605">
        <v>1</v>
      </c>
      <c r="CJ605">
        <v>1</v>
      </c>
      <c r="CK605">
        <v>23</v>
      </c>
      <c r="CL605" t="s">
        <v>87</v>
      </c>
    </row>
    <row r="606" spans="1:90" x14ac:dyDescent="0.3">
      <c r="A606" t="s">
        <v>72</v>
      </c>
      <c r="B606" t="s">
        <v>73</v>
      </c>
      <c r="C606" t="s">
        <v>74</v>
      </c>
      <c r="E606" t="str">
        <f>"080069676382"</f>
        <v>080069676382</v>
      </c>
      <c r="F606" s="3">
        <v>45995</v>
      </c>
      <c r="G606">
        <v>202609</v>
      </c>
      <c r="H606" t="s">
        <v>75</v>
      </c>
      <c r="I606" t="s">
        <v>76</v>
      </c>
      <c r="J606" t="s">
        <v>77</v>
      </c>
      <c r="K606" t="s">
        <v>78</v>
      </c>
      <c r="L606" t="s">
        <v>141</v>
      </c>
      <c r="M606" t="s">
        <v>142</v>
      </c>
      <c r="N606" t="s">
        <v>143</v>
      </c>
      <c r="O606" t="s">
        <v>80</v>
      </c>
      <c r="P606" t="str">
        <f>"4170071822                    "</f>
        <v xml:space="preserve">4170071822                    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0</v>
      </c>
      <c r="X606">
        <v>0</v>
      </c>
      <c r="Y606">
        <v>0</v>
      </c>
      <c r="Z606">
        <v>0</v>
      </c>
      <c r="AA606">
        <v>0</v>
      </c>
      <c r="AB606">
        <v>0</v>
      </c>
      <c r="AC606">
        <v>0</v>
      </c>
      <c r="AD606">
        <v>0</v>
      </c>
      <c r="AE606">
        <v>0</v>
      </c>
      <c r="AF606">
        <v>0</v>
      </c>
      <c r="AG606">
        <v>0</v>
      </c>
      <c r="AH606">
        <v>0</v>
      </c>
      <c r="AI606">
        <v>0</v>
      </c>
      <c r="AJ606">
        <v>0</v>
      </c>
      <c r="AK606">
        <v>0</v>
      </c>
      <c r="AL606">
        <v>0</v>
      </c>
      <c r="AM606">
        <v>0</v>
      </c>
      <c r="AN606">
        <v>0</v>
      </c>
      <c r="AO606">
        <v>0</v>
      </c>
      <c r="AP606">
        <v>0</v>
      </c>
      <c r="AQ606">
        <v>84.04</v>
      </c>
      <c r="AR606">
        <v>0</v>
      </c>
      <c r="AS606">
        <v>0</v>
      </c>
      <c r="AT606">
        <v>0</v>
      </c>
      <c r="AU606">
        <v>0</v>
      </c>
      <c r="AV606">
        <v>0</v>
      </c>
      <c r="AW606">
        <v>0</v>
      </c>
      <c r="AX606">
        <v>0</v>
      </c>
      <c r="AY606">
        <v>0</v>
      </c>
      <c r="AZ606">
        <v>0</v>
      </c>
      <c r="BA606">
        <v>0</v>
      </c>
      <c r="BB606">
        <v>0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1</v>
      </c>
      <c r="BI606">
        <v>14.5</v>
      </c>
      <c r="BJ606">
        <v>32</v>
      </c>
      <c r="BK606">
        <v>32</v>
      </c>
      <c r="BL606">
        <v>256.56</v>
      </c>
      <c r="BM606">
        <v>38.479999999999997</v>
      </c>
      <c r="BN606">
        <v>295.04000000000002</v>
      </c>
      <c r="BO606">
        <v>295.04000000000002</v>
      </c>
      <c r="BQ606" t="s">
        <v>144</v>
      </c>
      <c r="BR606" t="s">
        <v>82</v>
      </c>
      <c r="BS606" s="3">
        <v>45999</v>
      </c>
      <c r="BT606" s="4">
        <v>0.50763888888888886</v>
      </c>
      <c r="BU606" t="s">
        <v>1336</v>
      </c>
      <c r="BV606" t="s">
        <v>84</v>
      </c>
      <c r="BY606">
        <v>159970.98000000001</v>
      </c>
      <c r="CA606" t="s">
        <v>327</v>
      </c>
      <c r="CC606" t="s">
        <v>142</v>
      </c>
      <c r="CD606">
        <v>6001</v>
      </c>
      <c r="CE606" t="s">
        <v>86</v>
      </c>
      <c r="CF606" s="3">
        <v>45999</v>
      </c>
      <c r="CI606">
        <v>3</v>
      </c>
      <c r="CJ606">
        <v>2</v>
      </c>
      <c r="CK606">
        <v>41</v>
      </c>
      <c r="CL606" t="s">
        <v>87</v>
      </c>
    </row>
    <row r="607" spans="1:90" x14ac:dyDescent="0.3">
      <c r="A607" t="s">
        <v>72</v>
      </c>
      <c r="B607" t="s">
        <v>73</v>
      </c>
      <c r="C607" t="s">
        <v>74</v>
      </c>
      <c r="E607" t="str">
        <f>"080069676386"</f>
        <v>080069676386</v>
      </c>
      <c r="F607" s="3">
        <v>45995</v>
      </c>
      <c r="G607">
        <v>202609</v>
      </c>
      <c r="H607" t="s">
        <v>75</v>
      </c>
      <c r="I607" t="s">
        <v>76</v>
      </c>
      <c r="J607" t="s">
        <v>77</v>
      </c>
      <c r="K607" t="s">
        <v>78</v>
      </c>
      <c r="L607" t="s">
        <v>612</v>
      </c>
      <c r="M607" t="s">
        <v>613</v>
      </c>
      <c r="N607" t="s">
        <v>614</v>
      </c>
      <c r="O607" t="s">
        <v>89</v>
      </c>
      <c r="P607" t="str">
        <f>"4170071931                    "</f>
        <v xml:space="preserve">4170071931                    </v>
      </c>
      <c r="Q607">
        <v>0</v>
      </c>
      <c r="R607">
        <v>0</v>
      </c>
      <c r="S607">
        <v>0</v>
      </c>
      <c r="T607">
        <v>0</v>
      </c>
      <c r="U607">
        <v>0</v>
      </c>
      <c r="V607">
        <v>0</v>
      </c>
      <c r="W607">
        <v>0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0</v>
      </c>
      <c r="AJ607">
        <v>0</v>
      </c>
      <c r="AK607">
        <v>0</v>
      </c>
      <c r="AL607">
        <v>0</v>
      </c>
      <c r="AM607">
        <v>0</v>
      </c>
      <c r="AN607">
        <v>0</v>
      </c>
      <c r="AO607">
        <v>0</v>
      </c>
      <c r="AP607">
        <v>0</v>
      </c>
      <c r="AQ607">
        <v>49.45</v>
      </c>
      <c r="AR607">
        <v>0</v>
      </c>
      <c r="AS607">
        <v>0</v>
      </c>
      <c r="AT607">
        <v>0</v>
      </c>
      <c r="AU607">
        <v>0</v>
      </c>
      <c r="AV607">
        <v>0</v>
      </c>
      <c r="AW607">
        <v>0</v>
      </c>
      <c r="AX607">
        <v>0</v>
      </c>
      <c r="AY607">
        <v>0</v>
      </c>
      <c r="AZ607">
        <v>0</v>
      </c>
      <c r="BA607">
        <v>0</v>
      </c>
      <c r="BB607">
        <v>0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1</v>
      </c>
      <c r="BI607">
        <v>1</v>
      </c>
      <c r="BJ607">
        <v>0.2</v>
      </c>
      <c r="BK607">
        <v>1</v>
      </c>
      <c r="BL607">
        <v>147.38</v>
      </c>
      <c r="BM607">
        <v>22.11</v>
      </c>
      <c r="BN607">
        <v>169.49</v>
      </c>
      <c r="BO607">
        <v>169.49</v>
      </c>
      <c r="BQ607" t="s">
        <v>615</v>
      </c>
      <c r="BR607" t="s">
        <v>82</v>
      </c>
      <c r="BS607" s="3">
        <v>45996</v>
      </c>
      <c r="BT607" s="4">
        <v>0.60138888888888886</v>
      </c>
      <c r="BU607" t="s">
        <v>1244</v>
      </c>
      <c r="BV607" t="s">
        <v>84</v>
      </c>
      <c r="BY607">
        <v>1200</v>
      </c>
      <c r="CA607" t="s">
        <v>1243</v>
      </c>
      <c r="CC607" t="s">
        <v>613</v>
      </c>
      <c r="CD607">
        <v>6850</v>
      </c>
      <c r="CE607" t="s">
        <v>134</v>
      </c>
      <c r="CF607" s="3">
        <v>45999</v>
      </c>
      <c r="CI607">
        <v>2</v>
      </c>
      <c r="CJ607">
        <v>1</v>
      </c>
      <c r="CK607">
        <v>23</v>
      </c>
      <c r="CL607" t="s">
        <v>87</v>
      </c>
    </row>
    <row r="608" spans="1:90" x14ac:dyDescent="0.3">
      <c r="A608" t="s">
        <v>72</v>
      </c>
      <c r="B608" t="s">
        <v>73</v>
      </c>
      <c r="C608" t="s">
        <v>74</v>
      </c>
      <c r="E608" t="str">
        <f>"080069676445"</f>
        <v>080069676445</v>
      </c>
      <c r="F608" s="3">
        <v>45995</v>
      </c>
      <c r="G608">
        <v>202609</v>
      </c>
      <c r="H608" t="s">
        <v>75</v>
      </c>
      <c r="I608" t="s">
        <v>76</v>
      </c>
      <c r="J608" t="s">
        <v>77</v>
      </c>
      <c r="K608" t="s">
        <v>78</v>
      </c>
      <c r="L608" t="s">
        <v>141</v>
      </c>
      <c r="M608" t="s">
        <v>142</v>
      </c>
      <c r="N608" t="s">
        <v>801</v>
      </c>
      <c r="O608" t="s">
        <v>89</v>
      </c>
      <c r="P608" t="str">
        <f>"4170071797                    "</f>
        <v xml:space="preserve">4170071797                    </v>
      </c>
      <c r="Q608">
        <v>0</v>
      </c>
      <c r="R608">
        <v>0</v>
      </c>
      <c r="S608">
        <v>0</v>
      </c>
      <c r="T608">
        <v>0</v>
      </c>
      <c r="U608">
        <v>0</v>
      </c>
      <c r="V608">
        <v>0</v>
      </c>
      <c r="W608">
        <v>0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0</v>
      </c>
      <c r="AD608">
        <v>0</v>
      </c>
      <c r="AE608">
        <v>0</v>
      </c>
      <c r="AF608">
        <v>0</v>
      </c>
      <c r="AG608">
        <v>0</v>
      </c>
      <c r="AH608">
        <v>0</v>
      </c>
      <c r="AI608">
        <v>0</v>
      </c>
      <c r="AJ608">
        <v>0</v>
      </c>
      <c r="AK608">
        <v>0</v>
      </c>
      <c r="AL608">
        <v>0</v>
      </c>
      <c r="AM608">
        <v>0</v>
      </c>
      <c r="AN608">
        <v>0</v>
      </c>
      <c r="AO608">
        <v>0</v>
      </c>
      <c r="AP608">
        <v>0</v>
      </c>
      <c r="AQ608">
        <v>25.52</v>
      </c>
      <c r="AR608">
        <v>0</v>
      </c>
      <c r="AS608">
        <v>0</v>
      </c>
      <c r="AT608">
        <v>0</v>
      </c>
      <c r="AU608">
        <v>0</v>
      </c>
      <c r="AV608">
        <v>0</v>
      </c>
      <c r="AW608">
        <v>0</v>
      </c>
      <c r="AX608">
        <v>0</v>
      </c>
      <c r="AY608">
        <v>0</v>
      </c>
      <c r="AZ608">
        <v>0</v>
      </c>
      <c r="BA608">
        <v>0</v>
      </c>
      <c r="BB608">
        <v>0</v>
      </c>
      <c r="BC608">
        <v>0</v>
      </c>
      <c r="BD608">
        <v>0</v>
      </c>
      <c r="BE608">
        <v>0</v>
      </c>
      <c r="BF608">
        <v>0</v>
      </c>
      <c r="BG608">
        <v>0</v>
      </c>
      <c r="BH608">
        <v>1</v>
      </c>
      <c r="BI608">
        <v>1</v>
      </c>
      <c r="BJ608">
        <v>1.9</v>
      </c>
      <c r="BK608">
        <v>2</v>
      </c>
      <c r="BL608">
        <v>76.06</v>
      </c>
      <c r="BM608">
        <v>11.41</v>
      </c>
      <c r="BN608">
        <v>87.47</v>
      </c>
      <c r="BO608">
        <v>87.47</v>
      </c>
      <c r="BQ608" t="s">
        <v>802</v>
      </c>
      <c r="BR608" t="s">
        <v>82</v>
      </c>
      <c r="BS608" s="3">
        <v>45996</v>
      </c>
      <c r="BT608" s="4">
        <v>0.42708333333333331</v>
      </c>
      <c r="BU608" t="s">
        <v>1337</v>
      </c>
      <c r="BV608" t="s">
        <v>84</v>
      </c>
      <c r="BY608">
        <v>9600</v>
      </c>
      <c r="CA608" t="s">
        <v>1228</v>
      </c>
      <c r="CC608" t="s">
        <v>142</v>
      </c>
      <c r="CD608">
        <v>6001</v>
      </c>
      <c r="CE608" t="s">
        <v>86</v>
      </c>
      <c r="CF608" s="3">
        <v>45996</v>
      </c>
      <c r="CI608">
        <v>1</v>
      </c>
      <c r="CJ608">
        <v>1</v>
      </c>
      <c r="CK608">
        <v>21</v>
      </c>
      <c r="CL608" t="s">
        <v>87</v>
      </c>
    </row>
    <row r="609" spans="1:90" x14ac:dyDescent="0.3">
      <c r="A609" t="s">
        <v>72</v>
      </c>
      <c r="B609" t="s">
        <v>73</v>
      </c>
      <c r="C609" t="s">
        <v>74</v>
      </c>
      <c r="E609" t="str">
        <f>"080069676446"</f>
        <v>080069676446</v>
      </c>
      <c r="F609" s="3">
        <v>45995</v>
      </c>
      <c r="G609">
        <v>202609</v>
      </c>
      <c r="H609" t="s">
        <v>75</v>
      </c>
      <c r="I609" t="s">
        <v>76</v>
      </c>
      <c r="J609" t="s">
        <v>77</v>
      </c>
      <c r="K609" t="s">
        <v>78</v>
      </c>
      <c r="L609" t="s">
        <v>241</v>
      </c>
      <c r="M609" t="s">
        <v>242</v>
      </c>
      <c r="N609" t="s">
        <v>243</v>
      </c>
      <c r="O609" t="s">
        <v>89</v>
      </c>
      <c r="P609" t="str">
        <f>"4170071933                    "</f>
        <v xml:space="preserve">4170071933                    </v>
      </c>
      <c r="Q609">
        <v>0</v>
      </c>
      <c r="R609">
        <v>0</v>
      </c>
      <c r="S609">
        <v>0</v>
      </c>
      <c r="T609">
        <v>0</v>
      </c>
      <c r="U609">
        <v>0</v>
      </c>
      <c r="V609">
        <v>0</v>
      </c>
      <c r="W609">
        <v>0</v>
      </c>
      <c r="X609">
        <v>0</v>
      </c>
      <c r="Y609">
        <v>0</v>
      </c>
      <c r="Z609">
        <v>0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0</v>
      </c>
      <c r="AI609">
        <v>0</v>
      </c>
      <c r="AJ609">
        <v>0</v>
      </c>
      <c r="AK609">
        <v>0</v>
      </c>
      <c r="AL609">
        <v>0</v>
      </c>
      <c r="AM609">
        <v>0</v>
      </c>
      <c r="AN609">
        <v>0</v>
      </c>
      <c r="AO609">
        <v>0</v>
      </c>
      <c r="AP609">
        <v>0</v>
      </c>
      <c r="AQ609">
        <v>25.52</v>
      </c>
      <c r="AR609">
        <v>0</v>
      </c>
      <c r="AS609">
        <v>0</v>
      </c>
      <c r="AT609">
        <v>0</v>
      </c>
      <c r="AU609">
        <v>0</v>
      </c>
      <c r="AV609">
        <v>0</v>
      </c>
      <c r="AW609">
        <v>0</v>
      </c>
      <c r="AX609">
        <v>0</v>
      </c>
      <c r="AY609">
        <v>0</v>
      </c>
      <c r="AZ609">
        <v>0</v>
      </c>
      <c r="BA609">
        <v>0</v>
      </c>
      <c r="BB609">
        <v>0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1</v>
      </c>
      <c r="BI609">
        <v>1</v>
      </c>
      <c r="BJ609">
        <v>0.2</v>
      </c>
      <c r="BK609">
        <v>1</v>
      </c>
      <c r="BL609">
        <v>76.06</v>
      </c>
      <c r="BM609">
        <v>11.41</v>
      </c>
      <c r="BN609">
        <v>87.47</v>
      </c>
      <c r="BO609">
        <v>87.47</v>
      </c>
      <c r="BQ609" t="s">
        <v>244</v>
      </c>
      <c r="BR609" t="s">
        <v>82</v>
      </c>
      <c r="BS609" s="3">
        <v>45996</v>
      </c>
      <c r="BT609" s="4">
        <v>0.41666666666666669</v>
      </c>
      <c r="BU609" t="s">
        <v>1301</v>
      </c>
      <c r="BV609" t="s">
        <v>84</v>
      </c>
      <c r="BY609">
        <v>1200</v>
      </c>
      <c r="CA609" t="s">
        <v>1225</v>
      </c>
      <c r="CC609" t="s">
        <v>242</v>
      </c>
      <c r="CD609">
        <v>4300</v>
      </c>
      <c r="CE609" t="s">
        <v>134</v>
      </c>
      <c r="CF609" s="3">
        <v>45997</v>
      </c>
      <c r="CI609">
        <v>1</v>
      </c>
      <c r="CJ609">
        <v>1</v>
      </c>
      <c r="CK609">
        <v>21</v>
      </c>
      <c r="CL609" t="s">
        <v>87</v>
      </c>
    </row>
    <row r="610" spans="1:90" x14ac:dyDescent="0.3">
      <c r="A610" t="s">
        <v>72</v>
      </c>
      <c r="B610" t="s">
        <v>73</v>
      </c>
      <c r="C610" t="s">
        <v>74</v>
      </c>
      <c r="E610" t="str">
        <f>"080069676495"</f>
        <v>080069676495</v>
      </c>
      <c r="F610" s="3">
        <v>45995</v>
      </c>
      <c r="G610">
        <v>202609</v>
      </c>
      <c r="H610" t="s">
        <v>75</v>
      </c>
      <c r="I610" t="s">
        <v>76</v>
      </c>
      <c r="J610" t="s">
        <v>77</v>
      </c>
      <c r="K610" t="s">
        <v>78</v>
      </c>
      <c r="L610" t="s">
        <v>1338</v>
      </c>
      <c r="M610" t="s">
        <v>1339</v>
      </c>
      <c r="N610" t="s">
        <v>1340</v>
      </c>
      <c r="O610" t="s">
        <v>80</v>
      </c>
      <c r="P610" t="str">
        <f>"4170071808                    "</f>
        <v xml:space="preserve">4170071808                    </v>
      </c>
      <c r="Q610">
        <v>0</v>
      </c>
      <c r="R610">
        <v>0</v>
      </c>
      <c r="S610">
        <v>0</v>
      </c>
      <c r="T610">
        <v>0</v>
      </c>
      <c r="U610">
        <v>0</v>
      </c>
      <c r="V610">
        <v>0</v>
      </c>
      <c r="W610">
        <v>0</v>
      </c>
      <c r="X610">
        <v>0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0</v>
      </c>
      <c r="AE610">
        <v>0</v>
      </c>
      <c r="AF610">
        <v>0</v>
      </c>
      <c r="AG610">
        <v>0</v>
      </c>
      <c r="AH610">
        <v>0</v>
      </c>
      <c r="AI610">
        <v>0</v>
      </c>
      <c r="AJ610">
        <v>0</v>
      </c>
      <c r="AK610">
        <v>0</v>
      </c>
      <c r="AL610">
        <v>0</v>
      </c>
      <c r="AM610">
        <v>0</v>
      </c>
      <c r="AN610">
        <v>0</v>
      </c>
      <c r="AO610">
        <v>0</v>
      </c>
      <c r="AP610">
        <v>0</v>
      </c>
      <c r="AQ610">
        <v>147.83000000000001</v>
      </c>
      <c r="AR610">
        <v>0</v>
      </c>
      <c r="AS610">
        <v>0</v>
      </c>
      <c r="AT610">
        <v>0</v>
      </c>
      <c r="AU610">
        <v>0</v>
      </c>
      <c r="AV610">
        <v>0</v>
      </c>
      <c r="AW610">
        <v>0</v>
      </c>
      <c r="AX610">
        <v>0</v>
      </c>
      <c r="AY610">
        <v>0</v>
      </c>
      <c r="AZ610">
        <v>0</v>
      </c>
      <c r="BA610">
        <v>0</v>
      </c>
      <c r="BB610">
        <v>0</v>
      </c>
      <c r="BC610">
        <v>0</v>
      </c>
      <c r="BD610">
        <v>0</v>
      </c>
      <c r="BE610">
        <v>0</v>
      </c>
      <c r="BF610">
        <v>0</v>
      </c>
      <c r="BG610">
        <v>0</v>
      </c>
      <c r="BH610">
        <v>1</v>
      </c>
      <c r="BI610">
        <v>18.600000000000001</v>
      </c>
      <c r="BJ610">
        <v>36.1</v>
      </c>
      <c r="BK610">
        <v>37</v>
      </c>
      <c r="BL610">
        <v>446.66</v>
      </c>
      <c r="BM610">
        <v>67</v>
      </c>
      <c r="BN610">
        <v>513.66</v>
      </c>
      <c r="BO610">
        <v>513.66</v>
      </c>
      <c r="BQ610" t="s">
        <v>1341</v>
      </c>
      <c r="BR610" t="s">
        <v>82</v>
      </c>
      <c r="BS610" s="3">
        <v>45996</v>
      </c>
      <c r="BT610" s="4">
        <v>0.5229166666666667</v>
      </c>
      <c r="BU610" t="s">
        <v>1342</v>
      </c>
      <c r="BV610" t="s">
        <v>84</v>
      </c>
      <c r="BY610">
        <v>180384.45</v>
      </c>
      <c r="CA610" t="s">
        <v>1343</v>
      </c>
      <c r="CC610" t="s">
        <v>1339</v>
      </c>
      <c r="CD610">
        <v>1389</v>
      </c>
      <c r="CE610" t="s">
        <v>86</v>
      </c>
      <c r="CF610" s="3">
        <v>45999</v>
      </c>
      <c r="CI610">
        <v>1</v>
      </c>
      <c r="CJ610">
        <v>1</v>
      </c>
      <c r="CK610">
        <v>43</v>
      </c>
      <c r="CL610" t="s">
        <v>87</v>
      </c>
    </row>
    <row r="611" spans="1:90" x14ac:dyDescent="0.3">
      <c r="A611" t="s">
        <v>72</v>
      </c>
      <c r="B611" t="s">
        <v>73</v>
      </c>
      <c r="C611" t="s">
        <v>74</v>
      </c>
      <c r="E611" t="str">
        <f>"080069676905"</f>
        <v>080069676905</v>
      </c>
      <c r="F611" s="3">
        <v>45995</v>
      </c>
      <c r="G611">
        <v>202609</v>
      </c>
      <c r="H611" t="s">
        <v>75</v>
      </c>
      <c r="I611" t="s">
        <v>76</v>
      </c>
      <c r="J611" t="s">
        <v>77</v>
      </c>
      <c r="K611" t="s">
        <v>78</v>
      </c>
      <c r="L611" t="s">
        <v>156</v>
      </c>
      <c r="M611" t="s">
        <v>157</v>
      </c>
      <c r="N611" t="s">
        <v>1344</v>
      </c>
      <c r="O611" t="s">
        <v>89</v>
      </c>
      <c r="P611" t="str">
        <f>"4170071883                    "</f>
        <v xml:space="preserve">4170071883                    </v>
      </c>
      <c r="Q611">
        <v>0</v>
      </c>
      <c r="R611">
        <v>0</v>
      </c>
      <c r="S611">
        <v>0</v>
      </c>
      <c r="T611">
        <v>0</v>
      </c>
      <c r="U611">
        <v>0</v>
      </c>
      <c r="V611">
        <v>0</v>
      </c>
      <c r="W611">
        <v>0</v>
      </c>
      <c r="X611">
        <v>0</v>
      </c>
      <c r="Y611">
        <v>0</v>
      </c>
      <c r="Z611">
        <v>0</v>
      </c>
      <c r="AA611">
        <v>0</v>
      </c>
      <c r="AB611">
        <v>0</v>
      </c>
      <c r="AC611">
        <v>0</v>
      </c>
      <c r="AD611">
        <v>0</v>
      </c>
      <c r="AE611">
        <v>0</v>
      </c>
      <c r="AF611">
        <v>0</v>
      </c>
      <c r="AG611">
        <v>0</v>
      </c>
      <c r="AH611">
        <v>0</v>
      </c>
      <c r="AI611">
        <v>0</v>
      </c>
      <c r="AJ611">
        <v>0</v>
      </c>
      <c r="AK611">
        <v>0</v>
      </c>
      <c r="AL611">
        <v>0</v>
      </c>
      <c r="AM611">
        <v>0</v>
      </c>
      <c r="AN611">
        <v>0</v>
      </c>
      <c r="AO611">
        <v>0</v>
      </c>
      <c r="AP611">
        <v>0</v>
      </c>
      <c r="AQ611">
        <v>25.52</v>
      </c>
      <c r="AR611">
        <v>0</v>
      </c>
      <c r="AS611">
        <v>0</v>
      </c>
      <c r="AT611">
        <v>0</v>
      </c>
      <c r="AU611">
        <v>0</v>
      </c>
      <c r="AV611">
        <v>0</v>
      </c>
      <c r="AW611">
        <v>0</v>
      </c>
      <c r="AX611">
        <v>0</v>
      </c>
      <c r="AY611">
        <v>0</v>
      </c>
      <c r="AZ611">
        <v>0</v>
      </c>
      <c r="BA611">
        <v>0</v>
      </c>
      <c r="BB611">
        <v>0</v>
      </c>
      <c r="BC611">
        <v>0</v>
      </c>
      <c r="BD611">
        <v>0</v>
      </c>
      <c r="BE611">
        <v>0</v>
      </c>
      <c r="BF611">
        <v>0</v>
      </c>
      <c r="BG611">
        <v>0</v>
      </c>
      <c r="BH611">
        <v>1</v>
      </c>
      <c r="BI611">
        <v>2</v>
      </c>
      <c r="BJ611">
        <v>1.1000000000000001</v>
      </c>
      <c r="BK611">
        <v>2</v>
      </c>
      <c r="BL611">
        <v>76.06</v>
      </c>
      <c r="BM611">
        <v>11.41</v>
      </c>
      <c r="BN611">
        <v>87.47</v>
      </c>
      <c r="BO611">
        <v>87.47</v>
      </c>
      <c r="BQ611" t="s">
        <v>1345</v>
      </c>
      <c r="BR611" t="s">
        <v>82</v>
      </c>
      <c r="BS611" s="3">
        <v>45996</v>
      </c>
      <c r="BT611" s="4">
        <v>0.41319444444444442</v>
      </c>
      <c r="BU611" t="s">
        <v>1346</v>
      </c>
      <c r="BV611" t="s">
        <v>84</v>
      </c>
      <c r="BY611">
        <v>5510</v>
      </c>
      <c r="CA611" t="s">
        <v>264</v>
      </c>
      <c r="CC611" t="s">
        <v>157</v>
      </c>
      <c r="CD611">
        <v>7405</v>
      </c>
      <c r="CE611" t="s">
        <v>86</v>
      </c>
      <c r="CF611" s="3">
        <v>45999</v>
      </c>
      <c r="CI611">
        <v>1</v>
      </c>
      <c r="CJ611">
        <v>1</v>
      </c>
      <c r="CK611">
        <v>21</v>
      </c>
      <c r="CL611" t="s">
        <v>87</v>
      </c>
    </row>
    <row r="612" spans="1:90" x14ac:dyDescent="0.3">
      <c r="A612" t="s">
        <v>72</v>
      </c>
      <c r="B612" t="s">
        <v>73</v>
      </c>
      <c r="C612" t="s">
        <v>74</v>
      </c>
      <c r="E612" t="str">
        <f>"080069676947"</f>
        <v>080069676947</v>
      </c>
      <c r="F612" s="3">
        <v>45995</v>
      </c>
      <c r="G612">
        <v>202609</v>
      </c>
      <c r="H612" t="s">
        <v>75</v>
      </c>
      <c r="I612" t="s">
        <v>76</v>
      </c>
      <c r="J612" t="s">
        <v>77</v>
      </c>
      <c r="K612" t="s">
        <v>78</v>
      </c>
      <c r="L612" t="s">
        <v>156</v>
      </c>
      <c r="M612" t="s">
        <v>157</v>
      </c>
      <c r="N612" t="s">
        <v>261</v>
      </c>
      <c r="O612" t="s">
        <v>89</v>
      </c>
      <c r="P612" t="str">
        <f>"4170071839                    "</f>
        <v xml:space="preserve">4170071839                    </v>
      </c>
      <c r="Q612">
        <v>0</v>
      </c>
      <c r="R612">
        <v>0</v>
      </c>
      <c r="S612">
        <v>0</v>
      </c>
      <c r="T612">
        <v>0</v>
      </c>
      <c r="U612">
        <v>0</v>
      </c>
      <c r="V612">
        <v>0</v>
      </c>
      <c r="W612">
        <v>0</v>
      </c>
      <c r="X612">
        <v>0</v>
      </c>
      <c r="Y612">
        <v>0</v>
      </c>
      <c r="Z612">
        <v>0</v>
      </c>
      <c r="AA612">
        <v>0</v>
      </c>
      <c r="AB612">
        <v>0</v>
      </c>
      <c r="AC612">
        <v>0</v>
      </c>
      <c r="AD612">
        <v>0</v>
      </c>
      <c r="AE612">
        <v>0</v>
      </c>
      <c r="AF612">
        <v>0</v>
      </c>
      <c r="AG612">
        <v>0</v>
      </c>
      <c r="AH612">
        <v>0</v>
      </c>
      <c r="AI612">
        <v>0</v>
      </c>
      <c r="AJ612">
        <v>0</v>
      </c>
      <c r="AK612">
        <v>0</v>
      </c>
      <c r="AL612">
        <v>0</v>
      </c>
      <c r="AM612">
        <v>0</v>
      </c>
      <c r="AN612">
        <v>0</v>
      </c>
      <c r="AO612">
        <v>0</v>
      </c>
      <c r="AP612">
        <v>0</v>
      </c>
      <c r="AQ612">
        <v>25.52</v>
      </c>
      <c r="AR612">
        <v>0</v>
      </c>
      <c r="AS612">
        <v>0</v>
      </c>
      <c r="AT612">
        <v>0</v>
      </c>
      <c r="AU612">
        <v>0</v>
      </c>
      <c r="AV612">
        <v>0</v>
      </c>
      <c r="AW612">
        <v>0</v>
      </c>
      <c r="AX612">
        <v>0</v>
      </c>
      <c r="AY612">
        <v>0</v>
      </c>
      <c r="AZ612">
        <v>0</v>
      </c>
      <c r="BA612">
        <v>0</v>
      </c>
      <c r="BB612">
        <v>0</v>
      </c>
      <c r="BC612">
        <v>0</v>
      </c>
      <c r="BD612">
        <v>0</v>
      </c>
      <c r="BE612">
        <v>0</v>
      </c>
      <c r="BF612">
        <v>0</v>
      </c>
      <c r="BG612">
        <v>0</v>
      </c>
      <c r="BH612">
        <v>1</v>
      </c>
      <c r="BI612">
        <v>2</v>
      </c>
      <c r="BJ612">
        <v>1.8</v>
      </c>
      <c r="BK612">
        <v>2</v>
      </c>
      <c r="BL612">
        <v>76.06</v>
      </c>
      <c r="BM612">
        <v>11.41</v>
      </c>
      <c r="BN612">
        <v>87.47</v>
      </c>
      <c r="BO612">
        <v>87.47</v>
      </c>
      <c r="BQ612" t="s">
        <v>262</v>
      </c>
      <c r="BR612" t="s">
        <v>82</v>
      </c>
      <c r="BS612" s="3">
        <v>45996</v>
      </c>
      <c r="BT612" s="4">
        <v>0.39861111111111114</v>
      </c>
      <c r="BU612" t="s">
        <v>263</v>
      </c>
      <c r="BV612" t="s">
        <v>84</v>
      </c>
      <c r="BY612">
        <v>8816</v>
      </c>
      <c r="CA612" t="s">
        <v>264</v>
      </c>
      <c r="CC612" t="s">
        <v>157</v>
      </c>
      <c r="CD612">
        <v>7441</v>
      </c>
      <c r="CE612" t="s">
        <v>86</v>
      </c>
      <c r="CF612" s="3">
        <v>45999</v>
      </c>
      <c r="CI612">
        <v>1</v>
      </c>
      <c r="CJ612">
        <v>1</v>
      </c>
      <c r="CK612">
        <v>21</v>
      </c>
      <c r="CL612" t="s">
        <v>87</v>
      </c>
    </row>
    <row r="613" spans="1:90" x14ac:dyDescent="0.3">
      <c r="A613" t="s">
        <v>72</v>
      </c>
      <c r="B613" t="s">
        <v>73</v>
      </c>
      <c r="C613" t="s">
        <v>74</v>
      </c>
      <c r="E613" t="str">
        <f>"080069676979"</f>
        <v>080069676979</v>
      </c>
      <c r="F613" s="3">
        <v>45995</v>
      </c>
      <c r="G613">
        <v>202609</v>
      </c>
      <c r="H613" t="s">
        <v>75</v>
      </c>
      <c r="I613" t="s">
        <v>76</v>
      </c>
      <c r="J613" t="s">
        <v>77</v>
      </c>
      <c r="K613" t="s">
        <v>78</v>
      </c>
      <c r="L613" t="s">
        <v>389</v>
      </c>
      <c r="M613" t="s">
        <v>390</v>
      </c>
      <c r="N613" t="s">
        <v>1090</v>
      </c>
      <c r="O613" t="s">
        <v>89</v>
      </c>
      <c r="P613" t="str">
        <f>"4170071715                    "</f>
        <v xml:space="preserve">4170071715                    </v>
      </c>
      <c r="Q613">
        <v>0</v>
      </c>
      <c r="R613">
        <v>0</v>
      </c>
      <c r="S613">
        <v>0</v>
      </c>
      <c r="T613">
        <v>0</v>
      </c>
      <c r="U613">
        <v>0</v>
      </c>
      <c r="V613">
        <v>0</v>
      </c>
      <c r="W613">
        <v>0</v>
      </c>
      <c r="X613">
        <v>0</v>
      </c>
      <c r="Y613">
        <v>0</v>
      </c>
      <c r="Z613">
        <v>0</v>
      </c>
      <c r="AA613">
        <v>0</v>
      </c>
      <c r="AB613">
        <v>0</v>
      </c>
      <c r="AC613">
        <v>0</v>
      </c>
      <c r="AD613">
        <v>0</v>
      </c>
      <c r="AE613">
        <v>0</v>
      </c>
      <c r="AF613">
        <v>0</v>
      </c>
      <c r="AG613">
        <v>0</v>
      </c>
      <c r="AH613">
        <v>0</v>
      </c>
      <c r="AI613">
        <v>0</v>
      </c>
      <c r="AJ613">
        <v>0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94.12</v>
      </c>
      <c r="AR613">
        <v>0</v>
      </c>
      <c r="AS613">
        <v>0</v>
      </c>
      <c r="AT613">
        <v>0</v>
      </c>
      <c r="AU613">
        <v>0</v>
      </c>
      <c r="AV613">
        <v>0</v>
      </c>
      <c r="AW613">
        <v>0</v>
      </c>
      <c r="AX613">
        <v>0</v>
      </c>
      <c r="AY613">
        <v>0</v>
      </c>
      <c r="AZ613">
        <v>0</v>
      </c>
      <c r="BA613">
        <v>0</v>
      </c>
      <c r="BB613">
        <v>0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1</v>
      </c>
      <c r="BI613">
        <v>4</v>
      </c>
      <c r="BJ613">
        <v>1.1000000000000001</v>
      </c>
      <c r="BK613">
        <v>4</v>
      </c>
      <c r="BL613">
        <v>280.49</v>
      </c>
      <c r="BM613">
        <v>42.07</v>
      </c>
      <c r="BN613">
        <v>322.56</v>
      </c>
      <c r="BO613">
        <v>322.56</v>
      </c>
      <c r="BQ613" t="s">
        <v>1091</v>
      </c>
      <c r="BR613" t="s">
        <v>82</v>
      </c>
      <c r="BS613" s="3">
        <v>45996</v>
      </c>
      <c r="BT613" s="4">
        <v>0.42569444444444443</v>
      </c>
      <c r="BU613" t="s">
        <v>1335</v>
      </c>
      <c r="BV613" t="s">
        <v>84</v>
      </c>
      <c r="BY613">
        <v>5510</v>
      </c>
      <c r="CA613">
        <v>7601035402088</v>
      </c>
      <c r="CC613" t="s">
        <v>390</v>
      </c>
      <c r="CD613" s="5" t="s">
        <v>395</v>
      </c>
      <c r="CE613" t="s">
        <v>86</v>
      </c>
      <c r="CF613" s="3">
        <v>45997</v>
      </c>
      <c r="CI613">
        <v>1</v>
      </c>
      <c r="CJ613">
        <v>1</v>
      </c>
      <c r="CK613">
        <v>23</v>
      </c>
      <c r="CL613" t="s">
        <v>87</v>
      </c>
    </row>
    <row r="614" spans="1:90" x14ac:dyDescent="0.3">
      <c r="A614" t="s">
        <v>72</v>
      </c>
      <c r="B614" t="s">
        <v>73</v>
      </c>
      <c r="C614" t="s">
        <v>74</v>
      </c>
      <c r="E614" t="str">
        <f>"080069677028"</f>
        <v>080069677028</v>
      </c>
      <c r="F614" s="3">
        <v>45995</v>
      </c>
      <c r="G614">
        <v>202609</v>
      </c>
      <c r="H614" t="s">
        <v>75</v>
      </c>
      <c r="I614" t="s">
        <v>76</v>
      </c>
      <c r="J614" t="s">
        <v>77</v>
      </c>
      <c r="K614" t="s">
        <v>78</v>
      </c>
      <c r="L614" t="s">
        <v>914</v>
      </c>
      <c r="M614" t="s">
        <v>915</v>
      </c>
      <c r="N614" t="s">
        <v>1347</v>
      </c>
      <c r="O614" t="s">
        <v>89</v>
      </c>
      <c r="P614" t="str">
        <f>"4170071841                    "</f>
        <v xml:space="preserve">4170071841                    </v>
      </c>
      <c r="Q614">
        <v>0</v>
      </c>
      <c r="R614">
        <v>0</v>
      </c>
      <c r="S614">
        <v>0</v>
      </c>
      <c r="T614">
        <v>0</v>
      </c>
      <c r="U614">
        <v>0</v>
      </c>
      <c r="V614">
        <v>0</v>
      </c>
      <c r="W614">
        <v>0</v>
      </c>
      <c r="X614">
        <v>0</v>
      </c>
      <c r="Y614">
        <v>0</v>
      </c>
      <c r="Z614">
        <v>0</v>
      </c>
      <c r="AA614">
        <v>0</v>
      </c>
      <c r="AB614">
        <v>0</v>
      </c>
      <c r="AC614">
        <v>0</v>
      </c>
      <c r="AD614">
        <v>0</v>
      </c>
      <c r="AE614">
        <v>0</v>
      </c>
      <c r="AF614">
        <v>0</v>
      </c>
      <c r="AG614">
        <v>0</v>
      </c>
      <c r="AH614">
        <v>0</v>
      </c>
      <c r="AI614">
        <v>0</v>
      </c>
      <c r="AJ614">
        <v>0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0</v>
      </c>
      <c r="AQ614">
        <v>49.45</v>
      </c>
      <c r="AR614">
        <v>0</v>
      </c>
      <c r="AS614">
        <v>0</v>
      </c>
      <c r="AT614">
        <v>0</v>
      </c>
      <c r="AU614">
        <v>0</v>
      </c>
      <c r="AV614">
        <v>0</v>
      </c>
      <c r="AW614">
        <v>0</v>
      </c>
      <c r="AX614">
        <v>0</v>
      </c>
      <c r="AY614">
        <v>0</v>
      </c>
      <c r="AZ614">
        <v>0</v>
      </c>
      <c r="BA614">
        <v>0</v>
      </c>
      <c r="BB614">
        <v>0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1</v>
      </c>
      <c r="BI614">
        <v>1</v>
      </c>
      <c r="BJ614">
        <v>0.2</v>
      </c>
      <c r="BK614">
        <v>1</v>
      </c>
      <c r="BL614">
        <v>147.38</v>
      </c>
      <c r="BM614">
        <v>22.11</v>
      </c>
      <c r="BN614">
        <v>169.49</v>
      </c>
      <c r="BO614">
        <v>169.49</v>
      </c>
      <c r="BQ614" t="s">
        <v>1348</v>
      </c>
      <c r="BR614" t="s">
        <v>82</v>
      </c>
      <c r="BS614" s="3">
        <v>45999</v>
      </c>
      <c r="BT614" s="4">
        <v>0.52777777777777779</v>
      </c>
      <c r="BU614" t="s">
        <v>1349</v>
      </c>
      <c r="BV614" t="s">
        <v>84</v>
      </c>
      <c r="BY614">
        <v>1200</v>
      </c>
      <c r="CA614" t="s">
        <v>1350</v>
      </c>
      <c r="CC614" t="s">
        <v>915</v>
      </c>
      <c r="CD614">
        <v>3370</v>
      </c>
      <c r="CE614" t="s">
        <v>134</v>
      </c>
      <c r="CF614" s="3">
        <v>46000</v>
      </c>
      <c r="CI614">
        <v>2</v>
      </c>
      <c r="CJ614">
        <v>2</v>
      </c>
      <c r="CK614">
        <v>23</v>
      </c>
      <c r="CL614" t="s">
        <v>87</v>
      </c>
    </row>
    <row r="615" spans="1:90" x14ac:dyDescent="0.3">
      <c r="A615" t="s">
        <v>72</v>
      </c>
      <c r="B615" t="s">
        <v>73</v>
      </c>
      <c r="C615" t="s">
        <v>74</v>
      </c>
      <c r="E615" t="str">
        <f>"080069677086"</f>
        <v>080069677086</v>
      </c>
      <c r="F615" s="3">
        <v>45995</v>
      </c>
      <c r="G615">
        <v>202609</v>
      </c>
      <c r="H615" t="s">
        <v>75</v>
      </c>
      <c r="I615" t="s">
        <v>76</v>
      </c>
      <c r="J615" t="s">
        <v>77</v>
      </c>
      <c r="K615" t="s">
        <v>78</v>
      </c>
      <c r="L615" t="s">
        <v>94</v>
      </c>
      <c r="M615" t="s">
        <v>95</v>
      </c>
      <c r="N615" t="s">
        <v>1351</v>
      </c>
      <c r="O615" t="s">
        <v>89</v>
      </c>
      <c r="P615" t="str">
        <f>"4170071848                    "</f>
        <v xml:space="preserve">4170071848                    </v>
      </c>
      <c r="Q615">
        <v>0</v>
      </c>
      <c r="R615">
        <v>0</v>
      </c>
      <c r="S615">
        <v>0</v>
      </c>
      <c r="T615">
        <v>0</v>
      </c>
      <c r="U615">
        <v>0</v>
      </c>
      <c r="V615">
        <v>0</v>
      </c>
      <c r="W615">
        <v>0</v>
      </c>
      <c r="X615">
        <v>0</v>
      </c>
      <c r="Y615">
        <v>0</v>
      </c>
      <c r="Z615">
        <v>0</v>
      </c>
      <c r="AA615">
        <v>0</v>
      </c>
      <c r="AB615">
        <v>0</v>
      </c>
      <c r="AC615">
        <v>0</v>
      </c>
      <c r="AD615">
        <v>0</v>
      </c>
      <c r="AE615">
        <v>0</v>
      </c>
      <c r="AF615">
        <v>0</v>
      </c>
      <c r="AG615">
        <v>0</v>
      </c>
      <c r="AH615">
        <v>0</v>
      </c>
      <c r="AI615">
        <v>0</v>
      </c>
      <c r="AJ615">
        <v>0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0</v>
      </c>
      <c r="AQ615">
        <v>25.52</v>
      </c>
      <c r="AR615">
        <v>0</v>
      </c>
      <c r="AS615">
        <v>0</v>
      </c>
      <c r="AT615">
        <v>0</v>
      </c>
      <c r="AU615">
        <v>0</v>
      </c>
      <c r="AV615">
        <v>0</v>
      </c>
      <c r="AW615">
        <v>0</v>
      </c>
      <c r="AX615">
        <v>0</v>
      </c>
      <c r="AY615">
        <v>0</v>
      </c>
      <c r="AZ615">
        <v>0</v>
      </c>
      <c r="BA615">
        <v>0</v>
      </c>
      <c r="BB615">
        <v>0</v>
      </c>
      <c r="BC615">
        <v>0</v>
      </c>
      <c r="BD615">
        <v>0</v>
      </c>
      <c r="BE615">
        <v>0</v>
      </c>
      <c r="BF615">
        <v>0</v>
      </c>
      <c r="BG615">
        <v>0</v>
      </c>
      <c r="BH615">
        <v>1</v>
      </c>
      <c r="BI615">
        <v>1</v>
      </c>
      <c r="BJ615">
        <v>0.2</v>
      </c>
      <c r="BK615">
        <v>1</v>
      </c>
      <c r="BL615">
        <v>76.06</v>
      </c>
      <c r="BM615">
        <v>11.41</v>
      </c>
      <c r="BN615">
        <v>87.47</v>
      </c>
      <c r="BO615">
        <v>87.47</v>
      </c>
      <c r="BQ615" t="s">
        <v>1352</v>
      </c>
      <c r="BR615" t="s">
        <v>82</v>
      </c>
      <c r="BS615" s="3">
        <v>45996</v>
      </c>
      <c r="BT615" s="4">
        <v>0.41041666666666665</v>
      </c>
      <c r="BU615" t="s">
        <v>1353</v>
      </c>
      <c r="BV615" t="s">
        <v>84</v>
      </c>
      <c r="BY615">
        <v>1200</v>
      </c>
      <c r="CA615" t="s">
        <v>929</v>
      </c>
      <c r="CC615" t="s">
        <v>95</v>
      </c>
      <c r="CD615">
        <v>3610</v>
      </c>
      <c r="CE615" t="s">
        <v>134</v>
      </c>
      <c r="CF615" s="3">
        <v>45996</v>
      </c>
      <c r="CI615">
        <v>1</v>
      </c>
      <c r="CJ615">
        <v>1</v>
      </c>
      <c r="CK615">
        <v>21</v>
      </c>
      <c r="CL615" t="s">
        <v>87</v>
      </c>
    </row>
    <row r="616" spans="1:90" x14ac:dyDescent="0.3">
      <c r="A616" t="s">
        <v>72</v>
      </c>
      <c r="B616" t="s">
        <v>73</v>
      </c>
      <c r="C616" t="s">
        <v>74</v>
      </c>
      <c r="E616" t="str">
        <f>"080069677113"</f>
        <v>080069677113</v>
      </c>
      <c r="F616" s="3">
        <v>45995</v>
      </c>
      <c r="G616">
        <v>202609</v>
      </c>
      <c r="H616" t="s">
        <v>75</v>
      </c>
      <c r="I616" t="s">
        <v>76</v>
      </c>
      <c r="J616" t="s">
        <v>77</v>
      </c>
      <c r="K616" t="s">
        <v>78</v>
      </c>
      <c r="L616" t="s">
        <v>100</v>
      </c>
      <c r="M616" t="s">
        <v>101</v>
      </c>
      <c r="N616" t="s">
        <v>166</v>
      </c>
      <c r="O616" t="s">
        <v>89</v>
      </c>
      <c r="P616" t="str">
        <f>"4170071860                    "</f>
        <v xml:space="preserve">4170071860                    </v>
      </c>
      <c r="Q616">
        <v>0</v>
      </c>
      <c r="R616">
        <v>0</v>
      </c>
      <c r="S616">
        <v>0</v>
      </c>
      <c r="T616">
        <v>0</v>
      </c>
      <c r="U616">
        <v>0</v>
      </c>
      <c r="V616">
        <v>0</v>
      </c>
      <c r="W616">
        <v>0</v>
      </c>
      <c r="X616">
        <v>0</v>
      </c>
      <c r="Y616">
        <v>0</v>
      </c>
      <c r="Z616">
        <v>0</v>
      </c>
      <c r="AA616">
        <v>0</v>
      </c>
      <c r="AB616">
        <v>0</v>
      </c>
      <c r="AC616">
        <v>0</v>
      </c>
      <c r="AD616">
        <v>0</v>
      </c>
      <c r="AE616">
        <v>0</v>
      </c>
      <c r="AF616">
        <v>0</v>
      </c>
      <c r="AG616">
        <v>0</v>
      </c>
      <c r="AH616">
        <v>0</v>
      </c>
      <c r="AI616">
        <v>0</v>
      </c>
      <c r="AJ616">
        <v>0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25.52</v>
      </c>
      <c r="AR616">
        <v>0</v>
      </c>
      <c r="AS616">
        <v>0</v>
      </c>
      <c r="AT616">
        <v>0</v>
      </c>
      <c r="AU616">
        <v>0</v>
      </c>
      <c r="AV616">
        <v>0</v>
      </c>
      <c r="AW616">
        <v>0</v>
      </c>
      <c r="AX616">
        <v>0</v>
      </c>
      <c r="AY616">
        <v>0</v>
      </c>
      <c r="AZ616">
        <v>0</v>
      </c>
      <c r="BA616">
        <v>0</v>
      </c>
      <c r="BB616">
        <v>0</v>
      </c>
      <c r="BC616">
        <v>0</v>
      </c>
      <c r="BD616">
        <v>0</v>
      </c>
      <c r="BE616">
        <v>0</v>
      </c>
      <c r="BF616">
        <v>0</v>
      </c>
      <c r="BG616">
        <v>0</v>
      </c>
      <c r="BH616">
        <v>1</v>
      </c>
      <c r="BI616">
        <v>1</v>
      </c>
      <c r="BJ616">
        <v>0.2</v>
      </c>
      <c r="BK616">
        <v>1</v>
      </c>
      <c r="BL616">
        <v>76.06</v>
      </c>
      <c r="BM616">
        <v>11.41</v>
      </c>
      <c r="BN616">
        <v>87.47</v>
      </c>
      <c r="BO616">
        <v>87.47</v>
      </c>
      <c r="BQ616" t="s">
        <v>167</v>
      </c>
      <c r="BR616" t="s">
        <v>82</v>
      </c>
      <c r="BS616" s="3">
        <v>45996</v>
      </c>
      <c r="BT616" s="4">
        <v>0.41666666666666669</v>
      </c>
      <c r="BU616" t="s">
        <v>1354</v>
      </c>
      <c r="BV616" t="s">
        <v>84</v>
      </c>
      <c r="BY616">
        <v>1200</v>
      </c>
      <c r="CA616" t="s">
        <v>929</v>
      </c>
      <c r="CC616" t="s">
        <v>101</v>
      </c>
      <c r="CD616">
        <v>4000</v>
      </c>
      <c r="CE616" t="s">
        <v>134</v>
      </c>
      <c r="CF616" s="3">
        <v>45996</v>
      </c>
      <c r="CI616">
        <v>1</v>
      </c>
      <c r="CJ616">
        <v>1</v>
      </c>
      <c r="CK616">
        <v>21</v>
      </c>
      <c r="CL616" t="s">
        <v>87</v>
      </c>
    </row>
    <row r="617" spans="1:90" x14ac:dyDescent="0.3">
      <c r="A617" t="s">
        <v>72</v>
      </c>
      <c r="B617" t="s">
        <v>73</v>
      </c>
      <c r="C617" t="s">
        <v>74</v>
      </c>
      <c r="E617" t="str">
        <f>"080069677155"</f>
        <v>080069677155</v>
      </c>
      <c r="F617" s="3">
        <v>45995</v>
      </c>
      <c r="G617">
        <v>202609</v>
      </c>
      <c r="H617" t="s">
        <v>75</v>
      </c>
      <c r="I617" t="s">
        <v>76</v>
      </c>
      <c r="J617" t="s">
        <v>77</v>
      </c>
      <c r="K617" t="s">
        <v>78</v>
      </c>
      <c r="L617" t="s">
        <v>100</v>
      </c>
      <c r="M617" t="s">
        <v>101</v>
      </c>
      <c r="N617" t="s">
        <v>102</v>
      </c>
      <c r="O617" t="s">
        <v>89</v>
      </c>
      <c r="P617" t="str">
        <f>"4170071857                    "</f>
        <v xml:space="preserve">4170071857                    </v>
      </c>
      <c r="Q617">
        <v>0</v>
      </c>
      <c r="R617">
        <v>0</v>
      </c>
      <c r="S617">
        <v>0</v>
      </c>
      <c r="T617">
        <v>0</v>
      </c>
      <c r="U617">
        <v>0</v>
      </c>
      <c r="V617">
        <v>0</v>
      </c>
      <c r="W617">
        <v>0</v>
      </c>
      <c r="X617">
        <v>0</v>
      </c>
      <c r="Y617">
        <v>0</v>
      </c>
      <c r="Z617">
        <v>0</v>
      </c>
      <c r="AA617">
        <v>0</v>
      </c>
      <c r="AB617">
        <v>0</v>
      </c>
      <c r="AC617">
        <v>0</v>
      </c>
      <c r="AD617">
        <v>0</v>
      </c>
      <c r="AE617">
        <v>0</v>
      </c>
      <c r="AF617">
        <v>0</v>
      </c>
      <c r="AG617">
        <v>0</v>
      </c>
      <c r="AH617">
        <v>0</v>
      </c>
      <c r="AI617">
        <v>0</v>
      </c>
      <c r="AJ617">
        <v>0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25.52</v>
      </c>
      <c r="AR617">
        <v>0</v>
      </c>
      <c r="AS617">
        <v>0</v>
      </c>
      <c r="AT617">
        <v>0</v>
      </c>
      <c r="AU617">
        <v>0</v>
      </c>
      <c r="AV617">
        <v>0</v>
      </c>
      <c r="AW617">
        <v>0</v>
      </c>
      <c r="AX617">
        <v>0</v>
      </c>
      <c r="AY617">
        <v>0</v>
      </c>
      <c r="AZ617">
        <v>0</v>
      </c>
      <c r="BA617">
        <v>0</v>
      </c>
      <c r="BB617">
        <v>0</v>
      </c>
      <c r="BC617">
        <v>0</v>
      </c>
      <c r="BD617">
        <v>0</v>
      </c>
      <c r="BE617">
        <v>0</v>
      </c>
      <c r="BF617">
        <v>0</v>
      </c>
      <c r="BG617">
        <v>0</v>
      </c>
      <c r="BH617">
        <v>1</v>
      </c>
      <c r="BI617">
        <v>1</v>
      </c>
      <c r="BJ617">
        <v>0.2</v>
      </c>
      <c r="BK617">
        <v>1</v>
      </c>
      <c r="BL617">
        <v>76.06</v>
      </c>
      <c r="BM617">
        <v>11.41</v>
      </c>
      <c r="BN617">
        <v>87.47</v>
      </c>
      <c r="BO617">
        <v>87.47</v>
      </c>
      <c r="BQ617" t="s">
        <v>103</v>
      </c>
      <c r="BR617" t="s">
        <v>82</v>
      </c>
      <c r="BS617" s="3">
        <v>45996</v>
      </c>
      <c r="BT617" s="4">
        <v>0.35069444444444442</v>
      </c>
      <c r="BU617" t="s">
        <v>1211</v>
      </c>
      <c r="BV617" t="s">
        <v>84</v>
      </c>
      <c r="BY617">
        <v>1200</v>
      </c>
      <c r="CA617" t="s">
        <v>107</v>
      </c>
      <c r="CC617" t="s">
        <v>101</v>
      </c>
      <c r="CD617">
        <v>4000</v>
      </c>
      <c r="CE617" t="s">
        <v>134</v>
      </c>
      <c r="CF617" s="3">
        <v>45996</v>
      </c>
      <c r="CI617">
        <v>1</v>
      </c>
      <c r="CJ617">
        <v>1</v>
      </c>
      <c r="CK617">
        <v>21</v>
      </c>
      <c r="CL617" t="s">
        <v>87</v>
      </c>
    </row>
    <row r="618" spans="1:90" x14ac:dyDescent="0.3">
      <c r="A618" t="s">
        <v>72</v>
      </c>
      <c r="B618" t="s">
        <v>73</v>
      </c>
      <c r="C618" t="s">
        <v>74</v>
      </c>
      <c r="E618" t="str">
        <f>"R080069429553"</f>
        <v>R080069429553</v>
      </c>
      <c r="F618" s="3">
        <v>45995</v>
      </c>
      <c r="G618">
        <v>202609</v>
      </c>
      <c r="H618" t="s">
        <v>75</v>
      </c>
      <c r="I618" t="s">
        <v>76</v>
      </c>
      <c r="J618" t="s">
        <v>1355</v>
      </c>
      <c r="K618" t="s">
        <v>78</v>
      </c>
      <c r="L618" t="s">
        <v>535</v>
      </c>
      <c r="M618" t="s">
        <v>535</v>
      </c>
      <c r="N618" t="s">
        <v>1356</v>
      </c>
      <c r="O618" t="s">
        <v>80</v>
      </c>
      <c r="P618" t="str">
        <f>"4170070467                    "</f>
        <v xml:space="preserve">4170070467                    </v>
      </c>
      <c r="Q618">
        <v>0</v>
      </c>
      <c r="R618">
        <v>0</v>
      </c>
      <c r="S618">
        <v>0</v>
      </c>
      <c r="T618">
        <v>0</v>
      </c>
      <c r="U618">
        <v>0</v>
      </c>
      <c r="V618">
        <v>0</v>
      </c>
      <c r="W618">
        <v>0</v>
      </c>
      <c r="X618">
        <v>0</v>
      </c>
      <c r="Y618">
        <v>0</v>
      </c>
      <c r="Z618">
        <v>0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0</v>
      </c>
      <c r="AJ618">
        <v>0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80.28</v>
      </c>
      <c r="AR618">
        <v>0</v>
      </c>
      <c r="AS618">
        <v>0</v>
      </c>
      <c r="AT618">
        <v>0</v>
      </c>
      <c r="AU618">
        <v>0</v>
      </c>
      <c r="AV618">
        <v>0</v>
      </c>
      <c r="AW618">
        <v>0</v>
      </c>
      <c r="AX618">
        <v>0</v>
      </c>
      <c r="AY618">
        <v>0</v>
      </c>
      <c r="AZ618">
        <v>0</v>
      </c>
      <c r="BA618">
        <v>0</v>
      </c>
      <c r="BB618">
        <v>0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1</v>
      </c>
      <c r="BI618">
        <v>8</v>
      </c>
      <c r="BJ618">
        <v>17.7</v>
      </c>
      <c r="BK618">
        <v>18</v>
      </c>
      <c r="BL618">
        <v>245.35</v>
      </c>
      <c r="BM618">
        <v>36.799999999999997</v>
      </c>
      <c r="BN618">
        <v>282.14999999999998</v>
      </c>
      <c r="BO618">
        <v>282.14999999999998</v>
      </c>
      <c r="BQ618" t="s">
        <v>1357</v>
      </c>
      <c r="BR618" t="s">
        <v>82</v>
      </c>
      <c r="BS618" s="3">
        <v>45999</v>
      </c>
      <c r="BT618" s="4">
        <v>0.78333333333333333</v>
      </c>
      <c r="BU618" t="s">
        <v>1358</v>
      </c>
      <c r="BV618" t="s">
        <v>84</v>
      </c>
      <c r="BY618">
        <v>88320</v>
      </c>
      <c r="CA618" t="s">
        <v>1359</v>
      </c>
      <c r="CC618" t="s">
        <v>535</v>
      </c>
      <c r="CD618">
        <v>7646</v>
      </c>
      <c r="CE618" t="s">
        <v>86</v>
      </c>
      <c r="CF618" s="3">
        <v>46000</v>
      </c>
      <c r="CI618">
        <v>1</v>
      </c>
      <c r="CJ618">
        <v>2</v>
      </c>
      <c r="CK618">
        <v>43</v>
      </c>
      <c r="CL618" t="s">
        <v>87</v>
      </c>
    </row>
    <row r="619" spans="1:90" x14ac:dyDescent="0.3">
      <c r="A619" t="s">
        <v>72</v>
      </c>
      <c r="B619" t="s">
        <v>73</v>
      </c>
      <c r="C619" t="s">
        <v>74</v>
      </c>
      <c r="E619" t="str">
        <f>"080069677195"</f>
        <v>080069677195</v>
      </c>
      <c r="F619" s="3">
        <v>45995</v>
      </c>
      <c r="G619">
        <v>202609</v>
      </c>
      <c r="H619" t="s">
        <v>75</v>
      </c>
      <c r="I619" t="s">
        <v>76</v>
      </c>
      <c r="J619" t="s">
        <v>77</v>
      </c>
      <c r="K619" t="s">
        <v>78</v>
      </c>
      <c r="L619" t="s">
        <v>208</v>
      </c>
      <c r="M619" t="s">
        <v>209</v>
      </c>
      <c r="N619" t="s">
        <v>1360</v>
      </c>
      <c r="O619" t="s">
        <v>89</v>
      </c>
      <c r="P619" t="str">
        <f>"4170071853                    "</f>
        <v xml:space="preserve">4170071853                    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0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0</v>
      </c>
      <c r="AE619">
        <v>0</v>
      </c>
      <c r="AF619">
        <v>0</v>
      </c>
      <c r="AG619">
        <v>0</v>
      </c>
      <c r="AH619">
        <v>0</v>
      </c>
      <c r="AI619">
        <v>0</v>
      </c>
      <c r="AJ619">
        <v>0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25.52</v>
      </c>
      <c r="AR619">
        <v>0</v>
      </c>
      <c r="AS619">
        <v>0</v>
      </c>
      <c r="AT619">
        <v>0</v>
      </c>
      <c r="AU619">
        <v>0</v>
      </c>
      <c r="AV619">
        <v>0</v>
      </c>
      <c r="AW619">
        <v>0</v>
      </c>
      <c r="AX619">
        <v>0</v>
      </c>
      <c r="AY619">
        <v>0</v>
      </c>
      <c r="AZ619">
        <v>0</v>
      </c>
      <c r="BA619">
        <v>0</v>
      </c>
      <c r="BB619">
        <v>0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1</v>
      </c>
      <c r="BI619">
        <v>1</v>
      </c>
      <c r="BJ619">
        <v>0.2</v>
      </c>
      <c r="BK619">
        <v>1</v>
      </c>
      <c r="BL619">
        <v>76.06</v>
      </c>
      <c r="BM619">
        <v>11.41</v>
      </c>
      <c r="BN619">
        <v>87.47</v>
      </c>
      <c r="BO619">
        <v>87.47</v>
      </c>
      <c r="BQ619" t="s">
        <v>1361</v>
      </c>
      <c r="BR619" t="s">
        <v>82</v>
      </c>
      <c r="BS619" s="3">
        <v>45996</v>
      </c>
      <c r="BT619" s="4">
        <v>0.36805555555555558</v>
      </c>
      <c r="BU619" t="s">
        <v>1362</v>
      </c>
      <c r="BV619" t="s">
        <v>84</v>
      </c>
      <c r="BY619">
        <v>1200</v>
      </c>
      <c r="CA619">
        <v>7104145194083</v>
      </c>
      <c r="CC619" t="s">
        <v>209</v>
      </c>
      <c r="CD619" s="5" t="s">
        <v>213</v>
      </c>
      <c r="CE619" t="s">
        <v>134</v>
      </c>
      <c r="CF619" s="3">
        <v>45996</v>
      </c>
      <c r="CI619">
        <v>1</v>
      </c>
      <c r="CJ619">
        <v>1</v>
      </c>
      <c r="CK619">
        <v>21</v>
      </c>
      <c r="CL619" t="s">
        <v>87</v>
      </c>
    </row>
    <row r="620" spans="1:90" x14ac:dyDescent="0.3">
      <c r="A620" t="s">
        <v>72</v>
      </c>
      <c r="B620" t="s">
        <v>73</v>
      </c>
      <c r="C620" t="s">
        <v>74</v>
      </c>
      <c r="E620" t="str">
        <f>"080069677217"</f>
        <v>080069677217</v>
      </c>
      <c r="F620" s="3">
        <v>45995</v>
      </c>
      <c r="G620">
        <v>202609</v>
      </c>
      <c r="H620" t="s">
        <v>75</v>
      </c>
      <c r="I620" t="s">
        <v>76</v>
      </c>
      <c r="J620" t="s">
        <v>77</v>
      </c>
      <c r="K620" t="s">
        <v>78</v>
      </c>
      <c r="L620" t="s">
        <v>156</v>
      </c>
      <c r="M620" t="s">
        <v>157</v>
      </c>
      <c r="N620" t="s">
        <v>443</v>
      </c>
      <c r="O620" t="s">
        <v>89</v>
      </c>
      <c r="P620" t="str">
        <f>"4170071872                    "</f>
        <v xml:space="preserve">4170071872                    </v>
      </c>
      <c r="Q620">
        <v>0</v>
      </c>
      <c r="R620">
        <v>0</v>
      </c>
      <c r="S620">
        <v>0</v>
      </c>
      <c r="T620">
        <v>0</v>
      </c>
      <c r="U620">
        <v>0</v>
      </c>
      <c r="V620">
        <v>0</v>
      </c>
      <c r="W620">
        <v>0</v>
      </c>
      <c r="X620">
        <v>0</v>
      </c>
      <c r="Y620">
        <v>0</v>
      </c>
      <c r="Z620">
        <v>0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0</v>
      </c>
      <c r="AJ620">
        <v>0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25.52</v>
      </c>
      <c r="AR620">
        <v>0</v>
      </c>
      <c r="AS620">
        <v>0</v>
      </c>
      <c r="AT620">
        <v>0</v>
      </c>
      <c r="AU620">
        <v>0</v>
      </c>
      <c r="AV620">
        <v>0</v>
      </c>
      <c r="AW620">
        <v>0</v>
      </c>
      <c r="AX620">
        <v>0</v>
      </c>
      <c r="AY620">
        <v>0</v>
      </c>
      <c r="AZ620">
        <v>0</v>
      </c>
      <c r="BA620">
        <v>0</v>
      </c>
      <c r="BB620">
        <v>0</v>
      </c>
      <c r="BC620">
        <v>0</v>
      </c>
      <c r="BD620">
        <v>0</v>
      </c>
      <c r="BE620">
        <v>0</v>
      </c>
      <c r="BF620">
        <v>0</v>
      </c>
      <c r="BG620">
        <v>0</v>
      </c>
      <c r="BH620">
        <v>1</v>
      </c>
      <c r="BI620">
        <v>1</v>
      </c>
      <c r="BJ620">
        <v>0.2</v>
      </c>
      <c r="BK620">
        <v>1</v>
      </c>
      <c r="BL620">
        <v>76.06</v>
      </c>
      <c r="BM620">
        <v>11.41</v>
      </c>
      <c r="BN620">
        <v>87.47</v>
      </c>
      <c r="BO620">
        <v>87.47</v>
      </c>
      <c r="BQ620" t="s">
        <v>444</v>
      </c>
      <c r="BR620" t="s">
        <v>82</v>
      </c>
      <c r="BS620" s="3">
        <v>45996</v>
      </c>
      <c r="BT620" s="4">
        <v>0.40277777777777779</v>
      </c>
      <c r="BU620" t="s">
        <v>1194</v>
      </c>
      <c r="BV620" t="s">
        <v>84</v>
      </c>
      <c r="BY620">
        <v>1200</v>
      </c>
      <c r="CA620" t="s">
        <v>346</v>
      </c>
      <c r="CC620" t="s">
        <v>157</v>
      </c>
      <c r="CD620">
        <v>7530</v>
      </c>
      <c r="CE620" t="s">
        <v>134</v>
      </c>
      <c r="CF620" s="3">
        <v>45999</v>
      </c>
      <c r="CI620">
        <v>1</v>
      </c>
      <c r="CJ620">
        <v>1</v>
      </c>
      <c r="CK620">
        <v>21</v>
      </c>
      <c r="CL620" t="s">
        <v>87</v>
      </c>
    </row>
    <row r="621" spans="1:90" x14ac:dyDescent="0.3">
      <c r="A621" t="s">
        <v>72</v>
      </c>
      <c r="B621" t="s">
        <v>73</v>
      </c>
      <c r="C621" t="s">
        <v>74</v>
      </c>
      <c r="E621" t="str">
        <f>"080069677242"</f>
        <v>080069677242</v>
      </c>
      <c r="F621" s="3">
        <v>45995</v>
      </c>
      <c r="G621">
        <v>202609</v>
      </c>
      <c r="H621" t="s">
        <v>75</v>
      </c>
      <c r="I621" t="s">
        <v>76</v>
      </c>
      <c r="J621" t="s">
        <v>77</v>
      </c>
      <c r="K621" t="s">
        <v>78</v>
      </c>
      <c r="L621" t="s">
        <v>141</v>
      </c>
      <c r="M621" t="s">
        <v>142</v>
      </c>
      <c r="N621" t="s">
        <v>312</v>
      </c>
      <c r="O621" t="s">
        <v>89</v>
      </c>
      <c r="P621" t="str">
        <f>"4170071844                    "</f>
        <v xml:space="preserve">4170071844                    </v>
      </c>
      <c r="Q621">
        <v>0</v>
      </c>
      <c r="R621">
        <v>0</v>
      </c>
      <c r="S621">
        <v>0</v>
      </c>
      <c r="T621">
        <v>0</v>
      </c>
      <c r="U621">
        <v>0</v>
      </c>
      <c r="V621">
        <v>0</v>
      </c>
      <c r="W621">
        <v>0</v>
      </c>
      <c r="X621">
        <v>0</v>
      </c>
      <c r="Y621">
        <v>0</v>
      </c>
      <c r="Z621">
        <v>0</v>
      </c>
      <c r="AA621">
        <v>0</v>
      </c>
      <c r="AB621">
        <v>0</v>
      </c>
      <c r="AC621">
        <v>0</v>
      </c>
      <c r="AD621">
        <v>0</v>
      </c>
      <c r="AE621">
        <v>0</v>
      </c>
      <c r="AF621">
        <v>0</v>
      </c>
      <c r="AG621">
        <v>0</v>
      </c>
      <c r="AH621">
        <v>0</v>
      </c>
      <c r="AI621">
        <v>0</v>
      </c>
      <c r="AJ621">
        <v>0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25.52</v>
      </c>
      <c r="AR621">
        <v>0</v>
      </c>
      <c r="AS621">
        <v>0</v>
      </c>
      <c r="AT621">
        <v>0</v>
      </c>
      <c r="AU621">
        <v>0</v>
      </c>
      <c r="AV621">
        <v>0</v>
      </c>
      <c r="AW621">
        <v>0</v>
      </c>
      <c r="AX621">
        <v>0</v>
      </c>
      <c r="AY621">
        <v>0</v>
      </c>
      <c r="AZ621">
        <v>0</v>
      </c>
      <c r="BA621">
        <v>0</v>
      </c>
      <c r="BB621">
        <v>0</v>
      </c>
      <c r="BC621">
        <v>0</v>
      </c>
      <c r="BD621">
        <v>0</v>
      </c>
      <c r="BE621">
        <v>0</v>
      </c>
      <c r="BF621">
        <v>0</v>
      </c>
      <c r="BG621">
        <v>0</v>
      </c>
      <c r="BH621">
        <v>1</v>
      </c>
      <c r="BI621">
        <v>1</v>
      </c>
      <c r="BJ621">
        <v>0.2</v>
      </c>
      <c r="BK621">
        <v>1</v>
      </c>
      <c r="BL621">
        <v>76.06</v>
      </c>
      <c r="BM621">
        <v>11.41</v>
      </c>
      <c r="BN621">
        <v>87.47</v>
      </c>
      <c r="BO621">
        <v>87.47</v>
      </c>
      <c r="BQ621" t="s">
        <v>313</v>
      </c>
      <c r="BR621" t="s">
        <v>82</v>
      </c>
      <c r="BS621" s="3">
        <v>45996</v>
      </c>
      <c r="BT621" s="4">
        <v>0.41041666666666665</v>
      </c>
      <c r="BU621" t="s">
        <v>969</v>
      </c>
      <c r="BV621" t="s">
        <v>84</v>
      </c>
      <c r="BY621">
        <v>1200</v>
      </c>
      <c r="CA621" t="s">
        <v>315</v>
      </c>
      <c r="CC621" t="s">
        <v>142</v>
      </c>
      <c r="CD621">
        <v>6001</v>
      </c>
      <c r="CE621" t="s">
        <v>134</v>
      </c>
      <c r="CF621" s="3">
        <v>45996</v>
      </c>
      <c r="CI621">
        <v>1</v>
      </c>
      <c r="CJ621">
        <v>1</v>
      </c>
      <c r="CK621">
        <v>21</v>
      </c>
      <c r="CL621" t="s">
        <v>87</v>
      </c>
    </row>
    <row r="622" spans="1:90" x14ac:dyDescent="0.3">
      <c r="A622" t="s">
        <v>72</v>
      </c>
      <c r="B622" t="s">
        <v>73</v>
      </c>
      <c r="C622" t="s">
        <v>74</v>
      </c>
      <c r="E622" t="str">
        <f>"080069677516"</f>
        <v>080069677516</v>
      </c>
      <c r="F622" s="3">
        <v>45995</v>
      </c>
      <c r="G622">
        <v>202609</v>
      </c>
      <c r="H622" t="s">
        <v>75</v>
      </c>
      <c r="I622" t="s">
        <v>76</v>
      </c>
      <c r="J622" t="s">
        <v>77</v>
      </c>
      <c r="K622" t="s">
        <v>78</v>
      </c>
      <c r="L622" t="s">
        <v>295</v>
      </c>
      <c r="M622" t="s">
        <v>296</v>
      </c>
      <c r="N622" t="s">
        <v>1363</v>
      </c>
      <c r="O622" t="s">
        <v>89</v>
      </c>
      <c r="P622" t="str">
        <f>"4170071850                    "</f>
        <v xml:space="preserve">4170071850                    </v>
      </c>
      <c r="Q622">
        <v>0</v>
      </c>
      <c r="R622">
        <v>0</v>
      </c>
      <c r="S622">
        <v>0</v>
      </c>
      <c r="T622">
        <v>0</v>
      </c>
      <c r="U622">
        <v>0</v>
      </c>
      <c r="V622">
        <v>0</v>
      </c>
      <c r="W622">
        <v>0</v>
      </c>
      <c r="X622">
        <v>0</v>
      </c>
      <c r="Y622">
        <v>0</v>
      </c>
      <c r="Z622">
        <v>0</v>
      </c>
      <c r="AA622">
        <v>0</v>
      </c>
      <c r="AB622">
        <v>0</v>
      </c>
      <c r="AC622">
        <v>0</v>
      </c>
      <c r="AD622">
        <v>0</v>
      </c>
      <c r="AE622">
        <v>0</v>
      </c>
      <c r="AF622">
        <v>0</v>
      </c>
      <c r="AG622">
        <v>0</v>
      </c>
      <c r="AH622">
        <v>0</v>
      </c>
      <c r="AI622">
        <v>0</v>
      </c>
      <c r="AJ622">
        <v>0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19.940000000000001</v>
      </c>
      <c r="AR622">
        <v>0</v>
      </c>
      <c r="AS622">
        <v>0</v>
      </c>
      <c r="AT622">
        <v>0</v>
      </c>
      <c r="AU622">
        <v>0</v>
      </c>
      <c r="AV622">
        <v>0</v>
      </c>
      <c r="AW622">
        <v>0</v>
      </c>
      <c r="AX622">
        <v>0</v>
      </c>
      <c r="AY622">
        <v>0</v>
      </c>
      <c r="AZ622">
        <v>0</v>
      </c>
      <c r="BA622">
        <v>0</v>
      </c>
      <c r="BB622">
        <v>0</v>
      </c>
      <c r="BC622">
        <v>0</v>
      </c>
      <c r="BD622">
        <v>0</v>
      </c>
      <c r="BE622">
        <v>0</v>
      </c>
      <c r="BF622">
        <v>0</v>
      </c>
      <c r="BG622">
        <v>0</v>
      </c>
      <c r="BH622">
        <v>1</v>
      </c>
      <c r="BI622">
        <v>1</v>
      </c>
      <c r="BJ622">
        <v>0.2</v>
      </c>
      <c r="BK622">
        <v>1</v>
      </c>
      <c r="BL622">
        <v>59.42</v>
      </c>
      <c r="BM622">
        <v>8.91</v>
      </c>
      <c r="BN622">
        <v>68.33</v>
      </c>
      <c r="BO622">
        <v>68.33</v>
      </c>
      <c r="BQ622" t="s">
        <v>1364</v>
      </c>
      <c r="BR622" t="s">
        <v>82</v>
      </c>
      <c r="BS622" s="3">
        <v>45996</v>
      </c>
      <c r="BT622" s="4">
        <v>0.40625</v>
      </c>
      <c r="BU622" t="s">
        <v>1365</v>
      </c>
      <c r="BV622" t="s">
        <v>84</v>
      </c>
      <c r="BY622">
        <v>1200</v>
      </c>
      <c r="CA622" t="s">
        <v>319</v>
      </c>
      <c r="CC622" t="s">
        <v>296</v>
      </c>
      <c r="CD622">
        <v>1501</v>
      </c>
      <c r="CE622" t="s">
        <v>134</v>
      </c>
      <c r="CF622" s="3">
        <v>45996</v>
      </c>
      <c r="CI622">
        <v>1</v>
      </c>
      <c r="CJ622">
        <v>1</v>
      </c>
      <c r="CK622">
        <v>22</v>
      </c>
      <c r="CL622" t="s">
        <v>87</v>
      </c>
    </row>
    <row r="623" spans="1:90" x14ac:dyDescent="0.3">
      <c r="A623" t="s">
        <v>72</v>
      </c>
      <c r="B623" t="s">
        <v>73</v>
      </c>
      <c r="C623" t="s">
        <v>74</v>
      </c>
      <c r="E623" t="str">
        <f>"080069677529"</f>
        <v>080069677529</v>
      </c>
      <c r="F623" s="3">
        <v>45995</v>
      </c>
      <c r="G623">
        <v>202609</v>
      </c>
      <c r="H623" t="s">
        <v>75</v>
      </c>
      <c r="I623" t="s">
        <v>76</v>
      </c>
      <c r="J623" t="s">
        <v>77</v>
      </c>
      <c r="K623" t="s">
        <v>78</v>
      </c>
      <c r="L623" t="s">
        <v>100</v>
      </c>
      <c r="M623" t="s">
        <v>101</v>
      </c>
      <c r="N623" t="s">
        <v>199</v>
      </c>
      <c r="O623" t="s">
        <v>89</v>
      </c>
      <c r="P623" t="str">
        <f>"4170071879                    "</f>
        <v xml:space="preserve">4170071879                    </v>
      </c>
      <c r="Q623">
        <v>0</v>
      </c>
      <c r="R623">
        <v>0</v>
      </c>
      <c r="S623">
        <v>0</v>
      </c>
      <c r="T623">
        <v>0</v>
      </c>
      <c r="U623">
        <v>0</v>
      </c>
      <c r="V623">
        <v>0</v>
      </c>
      <c r="W623">
        <v>0</v>
      </c>
      <c r="X623">
        <v>0</v>
      </c>
      <c r="Y623">
        <v>0</v>
      </c>
      <c r="Z623">
        <v>0</v>
      </c>
      <c r="AA623">
        <v>0</v>
      </c>
      <c r="AB623">
        <v>0</v>
      </c>
      <c r="AC623">
        <v>0</v>
      </c>
      <c r="AD623">
        <v>0</v>
      </c>
      <c r="AE623">
        <v>0</v>
      </c>
      <c r="AF623">
        <v>0</v>
      </c>
      <c r="AG623">
        <v>0</v>
      </c>
      <c r="AH623">
        <v>0</v>
      </c>
      <c r="AI623">
        <v>0</v>
      </c>
      <c r="AJ623">
        <v>0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70.17</v>
      </c>
      <c r="AR623">
        <v>0</v>
      </c>
      <c r="AS623">
        <v>0</v>
      </c>
      <c r="AT623">
        <v>0</v>
      </c>
      <c r="AU623">
        <v>0</v>
      </c>
      <c r="AV623">
        <v>0</v>
      </c>
      <c r="AW623">
        <v>0</v>
      </c>
      <c r="AX623">
        <v>0</v>
      </c>
      <c r="AY623">
        <v>0</v>
      </c>
      <c r="AZ623">
        <v>0</v>
      </c>
      <c r="BA623">
        <v>0</v>
      </c>
      <c r="BB623">
        <v>0</v>
      </c>
      <c r="BC623">
        <v>0</v>
      </c>
      <c r="BD623">
        <v>0</v>
      </c>
      <c r="BE623">
        <v>0</v>
      </c>
      <c r="BF623">
        <v>0</v>
      </c>
      <c r="BG623">
        <v>0</v>
      </c>
      <c r="BH623">
        <v>1</v>
      </c>
      <c r="BI623">
        <v>2</v>
      </c>
      <c r="BJ623">
        <v>5.0999999999999996</v>
      </c>
      <c r="BK623">
        <v>5.5</v>
      </c>
      <c r="BL623">
        <v>209.12</v>
      </c>
      <c r="BM623">
        <v>31.37</v>
      </c>
      <c r="BN623">
        <v>240.49</v>
      </c>
      <c r="BO623">
        <v>240.49</v>
      </c>
      <c r="BQ623" t="s">
        <v>200</v>
      </c>
      <c r="BR623" t="s">
        <v>82</v>
      </c>
      <c r="BS623" s="3">
        <v>45996</v>
      </c>
      <c r="BT623" s="4">
        <v>0.43125000000000002</v>
      </c>
      <c r="BU623" t="s">
        <v>1366</v>
      </c>
      <c r="BV623" t="s">
        <v>84</v>
      </c>
      <c r="BY623">
        <v>25600</v>
      </c>
      <c r="CA623" t="s">
        <v>323</v>
      </c>
      <c r="CC623" t="s">
        <v>101</v>
      </c>
      <c r="CD623">
        <v>4001</v>
      </c>
      <c r="CE623" t="s">
        <v>93</v>
      </c>
      <c r="CF623" s="3">
        <v>45997</v>
      </c>
      <c r="CI623">
        <v>1</v>
      </c>
      <c r="CJ623">
        <v>1</v>
      </c>
      <c r="CK623">
        <v>21</v>
      </c>
      <c r="CL623" t="s">
        <v>87</v>
      </c>
    </row>
    <row r="624" spans="1:90" x14ac:dyDescent="0.3">
      <c r="A624" t="s">
        <v>72</v>
      </c>
      <c r="B624" t="s">
        <v>73</v>
      </c>
      <c r="C624" t="s">
        <v>74</v>
      </c>
      <c r="E624" t="str">
        <f>"080069677569"</f>
        <v>080069677569</v>
      </c>
      <c r="F624" s="3">
        <v>45995</v>
      </c>
      <c r="G624">
        <v>202609</v>
      </c>
      <c r="H624" t="s">
        <v>75</v>
      </c>
      <c r="I624" t="s">
        <v>76</v>
      </c>
      <c r="J624" t="s">
        <v>77</v>
      </c>
      <c r="K624" t="s">
        <v>78</v>
      </c>
      <c r="L624" t="s">
        <v>156</v>
      </c>
      <c r="M624" t="s">
        <v>157</v>
      </c>
      <c r="N624" t="s">
        <v>960</v>
      </c>
      <c r="O624" t="s">
        <v>89</v>
      </c>
      <c r="P624" t="str">
        <f>"4170071880                    "</f>
        <v xml:space="preserve">4170071880                    </v>
      </c>
      <c r="Q624">
        <v>0</v>
      </c>
      <c r="R624">
        <v>0</v>
      </c>
      <c r="S624">
        <v>0</v>
      </c>
      <c r="T624">
        <v>0</v>
      </c>
      <c r="U624">
        <v>0</v>
      </c>
      <c r="V624">
        <v>0</v>
      </c>
      <c r="W624">
        <v>0</v>
      </c>
      <c r="X624">
        <v>0</v>
      </c>
      <c r="Y624">
        <v>0</v>
      </c>
      <c r="Z624">
        <v>0</v>
      </c>
      <c r="AA624">
        <v>0</v>
      </c>
      <c r="AB624">
        <v>0</v>
      </c>
      <c r="AC624">
        <v>0</v>
      </c>
      <c r="AD624">
        <v>0</v>
      </c>
      <c r="AE624">
        <v>0</v>
      </c>
      <c r="AF624">
        <v>0</v>
      </c>
      <c r="AG624">
        <v>0</v>
      </c>
      <c r="AH624">
        <v>0</v>
      </c>
      <c r="AI624">
        <v>0</v>
      </c>
      <c r="AJ624">
        <v>0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25.52</v>
      </c>
      <c r="AR624">
        <v>0</v>
      </c>
      <c r="AS624">
        <v>0</v>
      </c>
      <c r="AT624">
        <v>0</v>
      </c>
      <c r="AU624">
        <v>0</v>
      </c>
      <c r="AV624">
        <v>0</v>
      </c>
      <c r="AW624">
        <v>0</v>
      </c>
      <c r="AX624">
        <v>0</v>
      </c>
      <c r="AY624">
        <v>0</v>
      </c>
      <c r="AZ624">
        <v>0</v>
      </c>
      <c r="BA624">
        <v>0</v>
      </c>
      <c r="BB624">
        <v>0</v>
      </c>
      <c r="BC624">
        <v>0</v>
      </c>
      <c r="BD624">
        <v>0</v>
      </c>
      <c r="BE624">
        <v>0</v>
      </c>
      <c r="BF624">
        <v>0</v>
      </c>
      <c r="BG624">
        <v>0</v>
      </c>
      <c r="BH624">
        <v>1</v>
      </c>
      <c r="BI624">
        <v>1</v>
      </c>
      <c r="BJ624">
        <v>0.2</v>
      </c>
      <c r="BK624">
        <v>1</v>
      </c>
      <c r="BL624">
        <v>76.06</v>
      </c>
      <c r="BM624">
        <v>11.41</v>
      </c>
      <c r="BN624">
        <v>87.47</v>
      </c>
      <c r="BO624">
        <v>87.47</v>
      </c>
      <c r="BQ624" t="s">
        <v>961</v>
      </c>
      <c r="BR624" t="s">
        <v>82</v>
      </c>
      <c r="BS624" s="3">
        <v>45996</v>
      </c>
      <c r="BT624" s="4">
        <v>0.41249999999999998</v>
      </c>
      <c r="BU624" t="s">
        <v>962</v>
      </c>
      <c r="BV624" t="s">
        <v>84</v>
      </c>
      <c r="BY624">
        <v>1200</v>
      </c>
      <c r="CA624" t="s">
        <v>346</v>
      </c>
      <c r="CC624" t="s">
        <v>157</v>
      </c>
      <c r="CD624">
        <v>7530</v>
      </c>
      <c r="CE624" t="s">
        <v>134</v>
      </c>
      <c r="CF624" s="3">
        <v>45999</v>
      </c>
      <c r="CI624">
        <v>1</v>
      </c>
      <c r="CJ624">
        <v>1</v>
      </c>
      <c r="CK624">
        <v>21</v>
      </c>
      <c r="CL624" t="s">
        <v>87</v>
      </c>
    </row>
    <row r="625" spans="1:90" x14ac:dyDescent="0.3">
      <c r="A625" t="s">
        <v>72</v>
      </c>
      <c r="B625" t="s">
        <v>73</v>
      </c>
      <c r="C625" t="s">
        <v>74</v>
      </c>
      <c r="E625" t="str">
        <f>"080069677596"</f>
        <v>080069677596</v>
      </c>
      <c r="F625" s="3">
        <v>45995</v>
      </c>
      <c r="G625">
        <v>202609</v>
      </c>
      <c r="H625" t="s">
        <v>75</v>
      </c>
      <c r="I625" t="s">
        <v>76</v>
      </c>
      <c r="J625" t="s">
        <v>77</v>
      </c>
      <c r="K625" t="s">
        <v>78</v>
      </c>
      <c r="L625" t="s">
        <v>141</v>
      </c>
      <c r="M625" t="s">
        <v>142</v>
      </c>
      <c r="N625" t="s">
        <v>801</v>
      </c>
      <c r="O625" t="s">
        <v>89</v>
      </c>
      <c r="P625" t="str">
        <f>"4170071985                    "</f>
        <v xml:space="preserve">4170071985                    </v>
      </c>
      <c r="Q625">
        <v>0</v>
      </c>
      <c r="R625">
        <v>0</v>
      </c>
      <c r="S625">
        <v>0</v>
      </c>
      <c r="T625">
        <v>0</v>
      </c>
      <c r="U625">
        <v>0</v>
      </c>
      <c r="V625">
        <v>0</v>
      </c>
      <c r="W625">
        <v>0</v>
      </c>
      <c r="X625">
        <v>0</v>
      </c>
      <c r="Y625">
        <v>0</v>
      </c>
      <c r="Z625">
        <v>0</v>
      </c>
      <c r="AA625">
        <v>0</v>
      </c>
      <c r="AB625">
        <v>0</v>
      </c>
      <c r="AC625">
        <v>0</v>
      </c>
      <c r="AD625">
        <v>0</v>
      </c>
      <c r="AE625">
        <v>0</v>
      </c>
      <c r="AF625">
        <v>0</v>
      </c>
      <c r="AG625">
        <v>0</v>
      </c>
      <c r="AH625">
        <v>0</v>
      </c>
      <c r="AI625">
        <v>0</v>
      </c>
      <c r="AJ625">
        <v>0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25.52</v>
      </c>
      <c r="AR625">
        <v>0</v>
      </c>
      <c r="AS625">
        <v>0</v>
      </c>
      <c r="AT625">
        <v>0</v>
      </c>
      <c r="AU625">
        <v>0</v>
      </c>
      <c r="AV625">
        <v>0</v>
      </c>
      <c r="AW625">
        <v>0</v>
      </c>
      <c r="AX625">
        <v>0</v>
      </c>
      <c r="AY625">
        <v>0</v>
      </c>
      <c r="AZ625">
        <v>0</v>
      </c>
      <c r="BA625">
        <v>0</v>
      </c>
      <c r="BB625">
        <v>0</v>
      </c>
      <c r="BC625">
        <v>0</v>
      </c>
      <c r="BD625">
        <v>0</v>
      </c>
      <c r="BE625">
        <v>0</v>
      </c>
      <c r="BF625">
        <v>0</v>
      </c>
      <c r="BG625">
        <v>0</v>
      </c>
      <c r="BH625">
        <v>1</v>
      </c>
      <c r="BI625">
        <v>2</v>
      </c>
      <c r="BJ625">
        <v>1.1000000000000001</v>
      </c>
      <c r="BK625">
        <v>2</v>
      </c>
      <c r="BL625">
        <v>76.06</v>
      </c>
      <c r="BM625">
        <v>11.41</v>
      </c>
      <c r="BN625">
        <v>87.47</v>
      </c>
      <c r="BO625">
        <v>87.47</v>
      </c>
      <c r="BQ625" t="s">
        <v>802</v>
      </c>
      <c r="BR625" t="s">
        <v>82</v>
      </c>
      <c r="BS625" s="3">
        <v>45996</v>
      </c>
      <c r="BT625" s="4">
        <v>0.42708333333333331</v>
      </c>
      <c r="BU625" t="s">
        <v>1337</v>
      </c>
      <c r="BV625" t="s">
        <v>84</v>
      </c>
      <c r="BY625">
        <v>5510</v>
      </c>
      <c r="CA625" t="s">
        <v>1228</v>
      </c>
      <c r="CC625" t="s">
        <v>142</v>
      </c>
      <c r="CD625">
        <v>6001</v>
      </c>
      <c r="CE625" t="s">
        <v>86</v>
      </c>
      <c r="CF625" s="3">
        <v>45996</v>
      </c>
      <c r="CI625">
        <v>1</v>
      </c>
      <c r="CJ625">
        <v>1</v>
      </c>
      <c r="CK625">
        <v>21</v>
      </c>
      <c r="CL625" t="s">
        <v>87</v>
      </c>
    </row>
    <row r="626" spans="1:90" x14ac:dyDescent="0.3">
      <c r="A626" t="s">
        <v>72</v>
      </c>
      <c r="B626" t="s">
        <v>73</v>
      </c>
      <c r="C626" t="s">
        <v>74</v>
      </c>
      <c r="E626" t="str">
        <f>"080069677637"</f>
        <v>080069677637</v>
      </c>
      <c r="F626" s="3">
        <v>45995</v>
      </c>
      <c r="G626">
        <v>202609</v>
      </c>
      <c r="H626" t="s">
        <v>75</v>
      </c>
      <c r="I626" t="s">
        <v>76</v>
      </c>
      <c r="J626" t="s">
        <v>77</v>
      </c>
      <c r="K626" t="s">
        <v>78</v>
      </c>
      <c r="L626" t="s">
        <v>302</v>
      </c>
      <c r="M626" t="s">
        <v>303</v>
      </c>
      <c r="N626" t="s">
        <v>651</v>
      </c>
      <c r="O626" t="s">
        <v>89</v>
      </c>
      <c r="P626" t="str">
        <f>"4170071870                    "</f>
        <v xml:space="preserve">4170071870                    </v>
      </c>
      <c r="Q626">
        <v>0</v>
      </c>
      <c r="R626">
        <v>0</v>
      </c>
      <c r="S626">
        <v>0</v>
      </c>
      <c r="T626">
        <v>0</v>
      </c>
      <c r="U626">
        <v>0</v>
      </c>
      <c r="V626">
        <v>0</v>
      </c>
      <c r="W626">
        <v>0</v>
      </c>
      <c r="X626">
        <v>0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0</v>
      </c>
      <c r="AE626">
        <v>0</v>
      </c>
      <c r="AF626">
        <v>0</v>
      </c>
      <c r="AG626">
        <v>0</v>
      </c>
      <c r="AH626">
        <v>0</v>
      </c>
      <c r="AI626">
        <v>0</v>
      </c>
      <c r="AJ626">
        <v>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25.52</v>
      </c>
      <c r="AR626">
        <v>0</v>
      </c>
      <c r="AS626">
        <v>0</v>
      </c>
      <c r="AT626">
        <v>0</v>
      </c>
      <c r="AU626">
        <v>0</v>
      </c>
      <c r="AV626">
        <v>0</v>
      </c>
      <c r="AW626">
        <v>0</v>
      </c>
      <c r="AX626">
        <v>0</v>
      </c>
      <c r="AY626">
        <v>0</v>
      </c>
      <c r="AZ626">
        <v>0</v>
      </c>
      <c r="BA626">
        <v>0</v>
      </c>
      <c r="BB626">
        <v>0</v>
      </c>
      <c r="BC626">
        <v>0</v>
      </c>
      <c r="BD626">
        <v>0</v>
      </c>
      <c r="BE626">
        <v>0</v>
      </c>
      <c r="BF626">
        <v>0</v>
      </c>
      <c r="BG626">
        <v>0</v>
      </c>
      <c r="BH626">
        <v>1</v>
      </c>
      <c r="BI626">
        <v>1</v>
      </c>
      <c r="BJ626">
        <v>0.2</v>
      </c>
      <c r="BK626">
        <v>1</v>
      </c>
      <c r="BL626">
        <v>76.06</v>
      </c>
      <c r="BM626">
        <v>11.41</v>
      </c>
      <c r="BN626">
        <v>87.47</v>
      </c>
      <c r="BO626">
        <v>87.47</v>
      </c>
      <c r="BQ626" t="s">
        <v>652</v>
      </c>
      <c r="BR626" t="s">
        <v>82</v>
      </c>
      <c r="BS626" s="3">
        <v>45996</v>
      </c>
      <c r="BT626" s="4">
        <v>0.40625</v>
      </c>
      <c r="BU626" t="s">
        <v>653</v>
      </c>
      <c r="BV626" t="s">
        <v>84</v>
      </c>
      <c r="BY626">
        <v>1200</v>
      </c>
      <c r="CA626">
        <v>8303236124087</v>
      </c>
      <c r="CC626" t="s">
        <v>303</v>
      </c>
      <c r="CD626" s="5" t="s">
        <v>307</v>
      </c>
      <c r="CE626" t="s">
        <v>134</v>
      </c>
      <c r="CF626" s="3">
        <v>45996</v>
      </c>
      <c r="CI626">
        <v>1</v>
      </c>
      <c r="CJ626">
        <v>1</v>
      </c>
      <c r="CK626">
        <v>21</v>
      </c>
      <c r="CL626" t="s">
        <v>87</v>
      </c>
    </row>
    <row r="627" spans="1:90" x14ac:dyDescent="0.3">
      <c r="A627" t="s">
        <v>72</v>
      </c>
      <c r="B627" t="s">
        <v>73</v>
      </c>
      <c r="C627" t="s">
        <v>74</v>
      </c>
      <c r="E627" t="str">
        <f>"080069677648"</f>
        <v>080069677648</v>
      </c>
      <c r="F627" s="3">
        <v>45995</v>
      </c>
      <c r="G627">
        <v>202609</v>
      </c>
      <c r="H627" t="s">
        <v>75</v>
      </c>
      <c r="I627" t="s">
        <v>76</v>
      </c>
      <c r="J627" t="s">
        <v>77</v>
      </c>
      <c r="K627" t="s">
        <v>78</v>
      </c>
      <c r="L627" t="s">
        <v>100</v>
      </c>
      <c r="M627" t="s">
        <v>101</v>
      </c>
      <c r="N627" t="s">
        <v>166</v>
      </c>
      <c r="O627" t="s">
        <v>89</v>
      </c>
      <c r="P627" t="str">
        <f>"4170071868                    "</f>
        <v xml:space="preserve">4170071868                    </v>
      </c>
      <c r="Q627">
        <v>0</v>
      </c>
      <c r="R627">
        <v>0</v>
      </c>
      <c r="S627">
        <v>0</v>
      </c>
      <c r="T627">
        <v>0</v>
      </c>
      <c r="U627">
        <v>0</v>
      </c>
      <c r="V627">
        <v>0</v>
      </c>
      <c r="W627">
        <v>0</v>
      </c>
      <c r="X627">
        <v>0</v>
      </c>
      <c r="Y627">
        <v>0</v>
      </c>
      <c r="Z627">
        <v>0</v>
      </c>
      <c r="AA627">
        <v>0</v>
      </c>
      <c r="AB627">
        <v>0</v>
      </c>
      <c r="AC627">
        <v>0</v>
      </c>
      <c r="AD627">
        <v>0</v>
      </c>
      <c r="AE627">
        <v>0</v>
      </c>
      <c r="AF627">
        <v>0</v>
      </c>
      <c r="AG627">
        <v>0</v>
      </c>
      <c r="AH627">
        <v>0</v>
      </c>
      <c r="AI627">
        <v>0</v>
      </c>
      <c r="AJ627">
        <v>0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38.28</v>
      </c>
      <c r="AR627">
        <v>0</v>
      </c>
      <c r="AS627">
        <v>0</v>
      </c>
      <c r="AT627">
        <v>0</v>
      </c>
      <c r="AU627">
        <v>0</v>
      </c>
      <c r="AV627">
        <v>0</v>
      </c>
      <c r="AW627">
        <v>0</v>
      </c>
      <c r="AX627">
        <v>0</v>
      </c>
      <c r="AY627">
        <v>0</v>
      </c>
      <c r="AZ627">
        <v>0</v>
      </c>
      <c r="BA627">
        <v>0</v>
      </c>
      <c r="BB627">
        <v>0</v>
      </c>
      <c r="BC627">
        <v>0</v>
      </c>
      <c r="BD627">
        <v>0</v>
      </c>
      <c r="BE627">
        <v>0</v>
      </c>
      <c r="BF627">
        <v>0</v>
      </c>
      <c r="BG627">
        <v>0</v>
      </c>
      <c r="BH627">
        <v>1</v>
      </c>
      <c r="BI627">
        <v>3</v>
      </c>
      <c r="BJ627">
        <v>1.1000000000000001</v>
      </c>
      <c r="BK627">
        <v>3</v>
      </c>
      <c r="BL627">
        <v>114.08</v>
      </c>
      <c r="BM627">
        <v>17.11</v>
      </c>
      <c r="BN627">
        <v>131.19</v>
      </c>
      <c r="BO627">
        <v>131.19</v>
      </c>
      <c r="BQ627" t="s">
        <v>167</v>
      </c>
      <c r="BR627" t="s">
        <v>82</v>
      </c>
      <c r="BS627" s="3">
        <v>45996</v>
      </c>
      <c r="BT627" s="4">
        <v>0.41666666666666669</v>
      </c>
      <c r="BU627" t="s">
        <v>1354</v>
      </c>
      <c r="BV627" t="s">
        <v>84</v>
      </c>
      <c r="BY627">
        <v>5510</v>
      </c>
      <c r="CA627" t="s">
        <v>929</v>
      </c>
      <c r="CC627" t="s">
        <v>101</v>
      </c>
      <c r="CD627">
        <v>4000</v>
      </c>
      <c r="CE627" t="s">
        <v>86</v>
      </c>
      <c r="CF627" s="3">
        <v>45996</v>
      </c>
      <c r="CI627">
        <v>1</v>
      </c>
      <c r="CJ627">
        <v>1</v>
      </c>
      <c r="CK627">
        <v>21</v>
      </c>
      <c r="CL627" t="s">
        <v>87</v>
      </c>
    </row>
    <row r="628" spans="1:90" x14ac:dyDescent="0.3">
      <c r="A628" t="s">
        <v>72</v>
      </c>
      <c r="B628" t="s">
        <v>73</v>
      </c>
      <c r="C628" t="s">
        <v>74</v>
      </c>
      <c r="E628" t="str">
        <f>"080069677661"</f>
        <v>080069677661</v>
      </c>
      <c r="F628" s="3">
        <v>45995</v>
      </c>
      <c r="G628">
        <v>202609</v>
      </c>
      <c r="H628" t="s">
        <v>75</v>
      </c>
      <c r="I628" t="s">
        <v>76</v>
      </c>
      <c r="J628" t="s">
        <v>77</v>
      </c>
      <c r="K628" t="s">
        <v>78</v>
      </c>
      <c r="L628" t="s">
        <v>100</v>
      </c>
      <c r="M628" t="s">
        <v>101</v>
      </c>
      <c r="N628" t="s">
        <v>1367</v>
      </c>
      <c r="O628" t="s">
        <v>89</v>
      </c>
      <c r="P628" t="str">
        <f>"4170071954                    "</f>
        <v xml:space="preserve">4170071954                    </v>
      </c>
      <c r="Q628">
        <v>0</v>
      </c>
      <c r="R628">
        <v>0</v>
      </c>
      <c r="S628">
        <v>0</v>
      </c>
      <c r="T628">
        <v>0</v>
      </c>
      <c r="U628">
        <v>0</v>
      </c>
      <c r="V628">
        <v>0</v>
      </c>
      <c r="W628">
        <v>0</v>
      </c>
      <c r="X628">
        <v>0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0</v>
      </c>
      <c r="AH628">
        <v>0</v>
      </c>
      <c r="AI628">
        <v>0</v>
      </c>
      <c r="AJ628">
        <v>0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25.52</v>
      </c>
      <c r="AR628">
        <v>0</v>
      </c>
      <c r="AS628">
        <v>0</v>
      </c>
      <c r="AT628">
        <v>0</v>
      </c>
      <c r="AU628">
        <v>0</v>
      </c>
      <c r="AV628">
        <v>0</v>
      </c>
      <c r="AW628">
        <v>0</v>
      </c>
      <c r="AX628">
        <v>0</v>
      </c>
      <c r="AY628">
        <v>0</v>
      </c>
      <c r="AZ628">
        <v>0</v>
      </c>
      <c r="BA628">
        <v>0</v>
      </c>
      <c r="BB628">
        <v>0</v>
      </c>
      <c r="BC628">
        <v>0</v>
      </c>
      <c r="BD628">
        <v>0</v>
      </c>
      <c r="BE628">
        <v>0</v>
      </c>
      <c r="BF628">
        <v>0</v>
      </c>
      <c r="BG628">
        <v>0</v>
      </c>
      <c r="BH628">
        <v>1</v>
      </c>
      <c r="BI628">
        <v>1</v>
      </c>
      <c r="BJ628">
        <v>0.2</v>
      </c>
      <c r="BK628">
        <v>1</v>
      </c>
      <c r="BL628">
        <v>76.06</v>
      </c>
      <c r="BM628">
        <v>11.41</v>
      </c>
      <c r="BN628">
        <v>87.47</v>
      </c>
      <c r="BO628">
        <v>87.47</v>
      </c>
      <c r="BQ628" t="s">
        <v>1368</v>
      </c>
      <c r="BR628" t="s">
        <v>82</v>
      </c>
      <c r="BS628" s="3">
        <v>45996</v>
      </c>
      <c r="BT628" s="4">
        <v>0.40833333333333333</v>
      </c>
      <c r="BU628" t="s">
        <v>322</v>
      </c>
      <c r="BV628" t="s">
        <v>84</v>
      </c>
      <c r="BY628">
        <v>1200</v>
      </c>
      <c r="CA628" t="s">
        <v>323</v>
      </c>
      <c r="CC628" t="s">
        <v>101</v>
      </c>
      <c r="CD628">
        <v>4001</v>
      </c>
      <c r="CE628" t="s">
        <v>134</v>
      </c>
      <c r="CF628" s="3">
        <v>45997</v>
      </c>
      <c r="CI628">
        <v>1</v>
      </c>
      <c r="CJ628">
        <v>1</v>
      </c>
      <c r="CK628">
        <v>21</v>
      </c>
      <c r="CL628" t="s">
        <v>87</v>
      </c>
    </row>
    <row r="629" spans="1:90" x14ac:dyDescent="0.3">
      <c r="A629" t="s">
        <v>72</v>
      </c>
      <c r="B629" t="s">
        <v>73</v>
      </c>
      <c r="C629" t="s">
        <v>74</v>
      </c>
      <c r="E629" t="str">
        <f>"080069677691"</f>
        <v>080069677691</v>
      </c>
      <c r="F629" s="3">
        <v>45995</v>
      </c>
      <c r="G629">
        <v>202609</v>
      </c>
      <c r="H629" t="s">
        <v>75</v>
      </c>
      <c r="I629" t="s">
        <v>76</v>
      </c>
      <c r="J629" t="s">
        <v>77</v>
      </c>
      <c r="K629" t="s">
        <v>78</v>
      </c>
      <c r="L629" t="s">
        <v>100</v>
      </c>
      <c r="M629" t="s">
        <v>101</v>
      </c>
      <c r="N629" t="s">
        <v>166</v>
      </c>
      <c r="O629" t="s">
        <v>80</v>
      </c>
      <c r="P629" t="str">
        <f>"4170071816                    "</f>
        <v xml:space="preserve">4170071816                    </v>
      </c>
      <c r="Q629">
        <v>0</v>
      </c>
      <c r="R629">
        <v>0</v>
      </c>
      <c r="S629">
        <v>0</v>
      </c>
      <c r="T629">
        <v>0</v>
      </c>
      <c r="U629">
        <v>0</v>
      </c>
      <c r="V629">
        <v>0</v>
      </c>
      <c r="W629">
        <v>0</v>
      </c>
      <c r="X629">
        <v>0</v>
      </c>
      <c r="Y629">
        <v>0</v>
      </c>
      <c r="Z629">
        <v>0</v>
      </c>
      <c r="AA629">
        <v>0</v>
      </c>
      <c r="AB629">
        <v>0</v>
      </c>
      <c r="AC629">
        <v>0</v>
      </c>
      <c r="AD629">
        <v>0</v>
      </c>
      <c r="AE629">
        <v>0</v>
      </c>
      <c r="AF629">
        <v>0</v>
      </c>
      <c r="AG629">
        <v>0</v>
      </c>
      <c r="AH629">
        <v>0</v>
      </c>
      <c r="AI629">
        <v>0</v>
      </c>
      <c r="AJ629">
        <v>0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57.52</v>
      </c>
      <c r="AR629">
        <v>0</v>
      </c>
      <c r="AS629">
        <v>0</v>
      </c>
      <c r="AT629">
        <v>0</v>
      </c>
      <c r="AU629">
        <v>0</v>
      </c>
      <c r="AV629">
        <v>0</v>
      </c>
      <c r="AW629">
        <v>0</v>
      </c>
      <c r="AX629">
        <v>0</v>
      </c>
      <c r="AY629">
        <v>0</v>
      </c>
      <c r="AZ629">
        <v>0</v>
      </c>
      <c r="BA629">
        <v>0</v>
      </c>
      <c r="BB629">
        <v>0</v>
      </c>
      <c r="BC629">
        <v>0</v>
      </c>
      <c r="BD629">
        <v>0</v>
      </c>
      <c r="BE629">
        <v>0</v>
      </c>
      <c r="BF629">
        <v>0</v>
      </c>
      <c r="BG629">
        <v>0</v>
      </c>
      <c r="BH629">
        <v>1</v>
      </c>
      <c r="BI629">
        <v>7.6</v>
      </c>
      <c r="BJ629">
        <v>18.5</v>
      </c>
      <c r="BK629">
        <v>19</v>
      </c>
      <c r="BL629">
        <v>177.52</v>
      </c>
      <c r="BM629">
        <v>26.63</v>
      </c>
      <c r="BN629">
        <v>204.15</v>
      </c>
      <c r="BO629">
        <v>204.15</v>
      </c>
      <c r="BQ629" t="s">
        <v>167</v>
      </c>
      <c r="BR629" t="s">
        <v>82</v>
      </c>
      <c r="BS629" s="3">
        <v>45996</v>
      </c>
      <c r="BT629" s="4">
        <v>0.41666666666666669</v>
      </c>
      <c r="BU629" t="s">
        <v>1354</v>
      </c>
      <c r="BV629" t="s">
        <v>84</v>
      </c>
      <c r="BY629">
        <v>92575.56</v>
      </c>
      <c r="CA629" t="s">
        <v>929</v>
      </c>
      <c r="CC629" t="s">
        <v>101</v>
      </c>
      <c r="CD629">
        <v>4000</v>
      </c>
      <c r="CE629" t="s">
        <v>86</v>
      </c>
      <c r="CF629" s="3">
        <v>45996</v>
      </c>
      <c r="CI629">
        <v>1</v>
      </c>
      <c r="CJ629">
        <v>1</v>
      </c>
      <c r="CK629">
        <v>41</v>
      </c>
      <c r="CL629" t="s">
        <v>87</v>
      </c>
    </row>
    <row r="630" spans="1:90" x14ac:dyDescent="0.3">
      <c r="A630" t="s">
        <v>72</v>
      </c>
      <c r="B630" t="s">
        <v>73</v>
      </c>
      <c r="C630" t="s">
        <v>74</v>
      </c>
      <c r="E630" t="str">
        <f>"080069677845"</f>
        <v>080069677845</v>
      </c>
      <c r="F630" s="3">
        <v>45995</v>
      </c>
      <c r="G630">
        <v>202609</v>
      </c>
      <c r="H630" t="s">
        <v>75</v>
      </c>
      <c r="I630" t="s">
        <v>76</v>
      </c>
      <c r="J630" t="s">
        <v>77</v>
      </c>
      <c r="K630" t="s">
        <v>78</v>
      </c>
      <c r="L630" t="s">
        <v>141</v>
      </c>
      <c r="M630" t="s">
        <v>142</v>
      </c>
      <c r="N630" t="s">
        <v>637</v>
      </c>
      <c r="O630" t="s">
        <v>89</v>
      </c>
      <c r="P630" t="str">
        <f>"4170071852                    "</f>
        <v xml:space="preserve">4170071852                    </v>
      </c>
      <c r="Q630">
        <v>0</v>
      </c>
      <c r="R630">
        <v>0</v>
      </c>
      <c r="S630">
        <v>0</v>
      </c>
      <c r="T630">
        <v>0</v>
      </c>
      <c r="U630">
        <v>0</v>
      </c>
      <c r="V630">
        <v>0</v>
      </c>
      <c r="W630">
        <v>0</v>
      </c>
      <c r="X630">
        <v>0</v>
      </c>
      <c r="Y630">
        <v>0</v>
      </c>
      <c r="Z630">
        <v>0</v>
      </c>
      <c r="AA630">
        <v>0</v>
      </c>
      <c r="AB630">
        <v>0</v>
      </c>
      <c r="AC630">
        <v>0</v>
      </c>
      <c r="AD630">
        <v>0</v>
      </c>
      <c r="AE630">
        <v>0</v>
      </c>
      <c r="AF630">
        <v>0</v>
      </c>
      <c r="AG630">
        <v>0</v>
      </c>
      <c r="AH630">
        <v>0</v>
      </c>
      <c r="AI630">
        <v>0</v>
      </c>
      <c r="AJ630">
        <v>0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51.04</v>
      </c>
      <c r="AR630">
        <v>0</v>
      </c>
      <c r="AS630">
        <v>0</v>
      </c>
      <c r="AT630">
        <v>0</v>
      </c>
      <c r="AU630">
        <v>0</v>
      </c>
      <c r="AV630">
        <v>0</v>
      </c>
      <c r="AW630">
        <v>0</v>
      </c>
      <c r="AX630">
        <v>0</v>
      </c>
      <c r="AY630">
        <v>0</v>
      </c>
      <c r="AZ630">
        <v>0</v>
      </c>
      <c r="BA630">
        <v>0</v>
      </c>
      <c r="BB630">
        <v>0</v>
      </c>
      <c r="BC630">
        <v>0</v>
      </c>
      <c r="BD630">
        <v>0</v>
      </c>
      <c r="BE630">
        <v>0</v>
      </c>
      <c r="BF630">
        <v>0</v>
      </c>
      <c r="BG630">
        <v>0</v>
      </c>
      <c r="BH630">
        <v>1</v>
      </c>
      <c r="BI630">
        <v>3</v>
      </c>
      <c r="BJ630">
        <v>4</v>
      </c>
      <c r="BK630">
        <v>4</v>
      </c>
      <c r="BL630">
        <v>152.1</v>
      </c>
      <c r="BM630">
        <v>22.82</v>
      </c>
      <c r="BN630">
        <v>174.92</v>
      </c>
      <c r="BO630">
        <v>174.92</v>
      </c>
      <c r="BQ630" t="s">
        <v>638</v>
      </c>
      <c r="BR630" t="s">
        <v>82</v>
      </c>
      <c r="BS630" s="3">
        <v>45996</v>
      </c>
      <c r="BT630" s="4">
        <v>0.38819444444444445</v>
      </c>
      <c r="BU630" t="s">
        <v>360</v>
      </c>
      <c r="BV630" t="s">
        <v>84</v>
      </c>
      <c r="BY630">
        <v>20216</v>
      </c>
      <c r="CA630" t="s">
        <v>489</v>
      </c>
      <c r="CC630" t="s">
        <v>142</v>
      </c>
      <c r="CD630">
        <v>6001</v>
      </c>
      <c r="CE630" t="s">
        <v>93</v>
      </c>
      <c r="CF630" s="3">
        <v>45996</v>
      </c>
      <c r="CI630">
        <v>1</v>
      </c>
      <c r="CJ630">
        <v>1</v>
      </c>
      <c r="CK630">
        <v>21</v>
      </c>
      <c r="CL630" t="s">
        <v>87</v>
      </c>
    </row>
    <row r="631" spans="1:90" x14ac:dyDescent="0.3">
      <c r="A631" t="s">
        <v>72</v>
      </c>
      <c r="B631" t="s">
        <v>73</v>
      </c>
      <c r="C631" t="s">
        <v>74</v>
      </c>
      <c r="E631" t="str">
        <f>"080069677867"</f>
        <v>080069677867</v>
      </c>
      <c r="F631" s="3">
        <v>45995</v>
      </c>
      <c r="G631">
        <v>202609</v>
      </c>
      <c r="H631" t="s">
        <v>75</v>
      </c>
      <c r="I631" t="s">
        <v>76</v>
      </c>
      <c r="J631" t="s">
        <v>77</v>
      </c>
      <c r="K631" t="s">
        <v>78</v>
      </c>
      <c r="L631" t="s">
        <v>548</v>
      </c>
      <c r="M631" t="s">
        <v>549</v>
      </c>
      <c r="N631" t="s">
        <v>572</v>
      </c>
      <c r="O631" t="s">
        <v>89</v>
      </c>
      <c r="P631" t="str">
        <f>"4170071859                    "</f>
        <v xml:space="preserve">4170071859                    </v>
      </c>
      <c r="Q631">
        <v>0</v>
      </c>
      <c r="R631">
        <v>0</v>
      </c>
      <c r="S631">
        <v>0</v>
      </c>
      <c r="T631">
        <v>0</v>
      </c>
      <c r="U631">
        <v>0</v>
      </c>
      <c r="V631">
        <v>0</v>
      </c>
      <c r="W631">
        <v>0</v>
      </c>
      <c r="X631">
        <v>0</v>
      </c>
      <c r="Y631">
        <v>0</v>
      </c>
      <c r="Z631">
        <v>0</v>
      </c>
      <c r="AA631">
        <v>0</v>
      </c>
      <c r="AB631">
        <v>0</v>
      </c>
      <c r="AC631">
        <v>0</v>
      </c>
      <c r="AD631">
        <v>0</v>
      </c>
      <c r="AE631">
        <v>0</v>
      </c>
      <c r="AF631">
        <v>0</v>
      </c>
      <c r="AG631">
        <v>0</v>
      </c>
      <c r="AH631">
        <v>0</v>
      </c>
      <c r="AI631">
        <v>0</v>
      </c>
      <c r="AJ631">
        <v>0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116.45</v>
      </c>
      <c r="AR631">
        <v>0</v>
      </c>
      <c r="AS631">
        <v>0</v>
      </c>
      <c r="AT631">
        <v>0</v>
      </c>
      <c r="AU631">
        <v>0</v>
      </c>
      <c r="AV631">
        <v>0</v>
      </c>
      <c r="AW631">
        <v>0</v>
      </c>
      <c r="AX631">
        <v>0</v>
      </c>
      <c r="AY631">
        <v>0</v>
      </c>
      <c r="AZ631">
        <v>0</v>
      </c>
      <c r="BA631">
        <v>0</v>
      </c>
      <c r="BB631">
        <v>0</v>
      </c>
      <c r="BC631">
        <v>0</v>
      </c>
      <c r="BD631">
        <v>0</v>
      </c>
      <c r="BE631">
        <v>0</v>
      </c>
      <c r="BF631">
        <v>0</v>
      </c>
      <c r="BG631">
        <v>0</v>
      </c>
      <c r="BH631">
        <v>1</v>
      </c>
      <c r="BI631">
        <v>2.9</v>
      </c>
      <c r="BJ631">
        <v>4.7</v>
      </c>
      <c r="BK631">
        <v>5</v>
      </c>
      <c r="BL631">
        <v>347.04</v>
      </c>
      <c r="BM631">
        <v>52.06</v>
      </c>
      <c r="BN631">
        <v>399.1</v>
      </c>
      <c r="BO631">
        <v>399.1</v>
      </c>
      <c r="BQ631" t="s">
        <v>573</v>
      </c>
      <c r="BR631" t="s">
        <v>82</v>
      </c>
      <c r="BS631" s="3">
        <v>45996</v>
      </c>
      <c r="BT631" s="4">
        <v>0.4375</v>
      </c>
      <c r="BU631" t="s">
        <v>574</v>
      </c>
      <c r="BV631" t="s">
        <v>84</v>
      </c>
      <c r="BY631">
        <v>23591.79</v>
      </c>
      <c r="CA631">
        <v>9703035538081</v>
      </c>
      <c r="CC631" t="s">
        <v>549</v>
      </c>
      <c r="CD631">
        <v>2302</v>
      </c>
      <c r="CE631" t="s">
        <v>93</v>
      </c>
      <c r="CF631" s="3">
        <v>45999</v>
      </c>
      <c r="CI631">
        <v>1</v>
      </c>
      <c r="CJ631">
        <v>1</v>
      </c>
      <c r="CK631">
        <v>23</v>
      </c>
      <c r="CL631" t="s">
        <v>87</v>
      </c>
    </row>
    <row r="632" spans="1:90" x14ac:dyDescent="0.3">
      <c r="A632" t="s">
        <v>72</v>
      </c>
      <c r="B632" t="s">
        <v>73</v>
      </c>
      <c r="C632" t="s">
        <v>74</v>
      </c>
      <c r="E632" t="str">
        <f>"080069677902"</f>
        <v>080069677902</v>
      </c>
      <c r="F632" s="3">
        <v>45995</v>
      </c>
      <c r="G632">
        <v>202609</v>
      </c>
      <c r="H632" t="s">
        <v>75</v>
      </c>
      <c r="I632" t="s">
        <v>76</v>
      </c>
      <c r="J632" t="s">
        <v>77</v>
      </c>
      <c r="K632" t="s">
        <v>78</v>
      </c>
      <c r="L632" t="s">
        <v>156</v>
      </c>
      <c r="M632" t="s">
        <v>157</v>
      </c>
      <c r="N632" t="s">
        <v>880</v>
      </c>
      <c r="O632" t="s">
        <v>89</v>
      </c>
      <c r="P632" t="str">
        <f>"4170071920                    "</f>
        <v xml:space="preserve">4170071920                    </v>
      </c>
      <c r="Q632">
        <v>0</v>
      </c>
      <c r="R632">
        <v>0</v>
      </c>
      <c r="S632">
        <v>0</v>
      </c>
      <c r="T632">
        <v>0</v>
      </c>
      <c r="U632">
        <v>0</v>
      </c>
      <c r="V632">
        <v>0</v>
      </c>
      <c r="W632">
        <v>0</v>
      </c>
      <c r="X632">
        <v>0</v>
      </c>
      <c r="Y632">
        <v>0</v>
      </c>
      <c r="Z632">
        <v>0</v>
      </c>
      <c r="AA632">
        <v>0</v>
      </c>
      <c r="AB632">
        <v>0</v>
      </c>
      <c r="AC632">
        <v>0</v>
      </c>
      <c r="AD632">
        <v>0</v>
      </c>
      <c r="AE632">
        <v>0</v>
      </c>
      <c r="AF632">
        <v>0</v>
      </c>
      <c r="AG632">
        <v>0</v>
      </c>
      <c r="AH632">
        <v>0</v>
      </c>
      <c r="AI632">
        <v>0</v>
      </c>
      <c r="AJ632">
        <v>0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0</v>
      </c>
      <c r="AQ632">
        <v>25.52</v>
      </c>
      <c r="AR632">
        <v>0</v>
      </c>
      <c r="AS632">
        <v>0</v>
      </c>
      <c r="AT632">
        <v>0</v>
      </c>
      <c r="AU632">
        <v>0</v>
      </c>
      <c r="AV632">
        <v>0</v>
      </c>
      <c r="AW632">
        <v>0</v>
      </c>
      <c r="AX632">
        <v>0</v>
      </c>
      <c r="AY632">
        <v>0</v>
      </c>
      <c r="AZ632">
        <v>0</v>
      </c>
      <c r="BA632">
        <v>0</v>
      </c>
      <c r="BB632">
        <v>0</v>
      </c>
      <c r="BC632">
        <v>0</v>
      </c>
      <c r="BD632">
        <v>0</v>
      </c>
      <c r="BE632">
        <v>0</v>
      </c>
      <c r="BF632">
        <v>0</v>
      </c>
      <c r="BG632">
        <v>0</v>
      </c>
      <c r="BH632">
        <v>1</v>
      </c>
      <c r="BI632">
        <v>2</v>
      </c>
      <c r="BJ632">
        <v>1.9</v>
      </c>
      <c r="BK632">
        <v>2</v>
      </c>
      <c r="BL632">
        <v>76.06</v>
      </c>
      <c r="BM632">
        <v>11.41</v>
      </c>
      <c r="BN632">
        <v>87.47</v>
      </c>
      <c r="BO632">
        <v>87.47</v>
      </c>
      <c r="BQ632" t="s">
        <v>881</v>
      </c>
      <c r="BR632" t="s">
        <v>82</v>
      </c>
      <c r="BS632" s="3">
        <v>45996</v>
      </c>
      <c r="BT632" s="4">
        <v>0.50555555555555554</v>
      </c>
      <c r="BU632" t="s">
        <v>667</v>
      </c>
      <c r="BV632" t="s">
        <v>87</v>
      </c>
      <c r="BW632" t="s">
        <v>153</v>
      </c>
      <c r="BX632" t="s">
        <v>345</v>
      </c>
      <c r="BY632">
        <v>9600</v>
      </c>
      <c r="CA632" t="s">
        <v>668</v>
      </c>
      <c r="CC632" t="s">
        <v>157</v>
      </c>
      <c r="CD632">
        <v>7550</v>
      </c>
      <c r="CE632" t="s">
        <v>86</v>
      </c>
      <c r="CF632" s="3">
        <v>45999</v>
      </c>
      <c r="CI632">
        <v>1</v>
      </c>
      <c r="CJ632">
        <v>1</v>
      </c>
      <c r="CK632">
        <v>21</v>
      </c>
      <c r="CL632" t="s">
        <v>87</v>
      </c>
    </row>
    <row r="633" spans="1:90" x14ac:dyDescent="0.3">
      <c r="A633" t="s">
        <v>72</v>
      </c>
      <c r="B633" t="s">
        <v>73</v>
      </c>
      <c r="C633" t="s">
        <v>74</v>
      </c>
      <c r="E633" t="str">
        <f>"080069677939"</f>
        <v>080069677939</v>
      </c>
      <c r="F633" s="3">
        <v>45995</v>
      </c>
      <c r="G633">
        <v>202609</v>
      </c>
      <c r="H633" t="s">
        <v>75</v>
      </c>
      <c r="I633" t="s">
        <v>76</v>
      </c>
      <c r="J633" t="s">
        <v>77</v>
      </c>
      <c r="K633" t="s">
        <v>78</v>
      </c>
      <c r="L633" t="s">
        <v>94</v>
      </c>
      <c r="M633" t="s">
        <v>95</v>
      </c>
      <c r="N633" t="s">
        <v>96</v>
      </c>
      <c r="O633" t="s">
        <v>80</v>
      </c>
      <c r="P633" t="str">
        <f>"4170071809                    "</f>
        <v xml:space="preserve">4170071809                    </v>
      </c>
      <c r="Q633">
        <v>0</v>
      </c>
      <c r="R633">
        <v>0</v>
      </c>
      <c r="S633">
        <v>0</v>
      </c>
      <c r="T633">
        <v>0</v>
      </c>
      <c r="U633">
        <v>0</v>
      </c>
      <c r="V633">
        <v>0</v>
      </c>
      <c r="W633">
        <v>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0</v>
      </c>
      <c r="AD633">
        <v>0</v>
      </c>
      <c r="AE633">
        <v>0</v>
      </c>
      <c r="AF633">
        <v>0</v>
      </c>
      <c r="AG633">
        <v>0</v>
      </c>
      <c r="AH633">
        <v>0</v>
      </c>
      <c r="AI633">
        <v>0</v>
      </c>
      <c r="AJ633">
        <v>0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61.6</v>
      </c>
      <c r="AR633">
        <v>0</v>
      </c>
      <c r="AS633">
        <v>0</v>
      </c>
      <c r="AT633">
        <v>0</v>
      </c>
      <c r="AU633">
        <v>0</v>
      </c>
      <c r="AV633">
        <v>0</v>
      </c>
      <c r="AW633">
        <v>0</v>
      </c>
      <c r="AX633">
        <v>0</v>
      </c>
      <c r="AY633">
        <v>0</v>
      </c>
      <c r="AZ633">
        <v>0</v>
      </c>
      <c r="BA633">
        <v>0</v>
      </c>
      <c r="BB633">
        <v>0</v>
      </c>
      <c r="BC633">
        <v>0</v>
      </c>
      <c r="BD633">
        <v>0</v>
      </c>
      <c r="BE633">
        <v>0</v>
      </c>
      <c r="BF633">
        <v>0</v>
      </c>
      <c r="BG633">
        <v>0</v>
      </c>
      <c r="BH633">
        <v>1</v>
      </c>
      <c r="BI633">
        <v>20.3</v>
      </c>
      <c r="BJ633">
        <v>17.899999999999999</v>
      </c>
      <c r="BK633">
        <v>21</v>
      </c>
      <c r="BL633">
        <v>189.68</v>
      </c>
      <c r="BM633">
        <v>28.45</v>
      </c>
      <c r="BN633">
        <v>218.13</v>
      </c>
      <c r="BO633">
        <v>218.13</v>
      </c>
      <c r="BQ633" t="s">
        <v>97</v>
      </c>
      <c r="BR633" t="s">
        <v>82</v>
      </c>
      <c r="BS633" s="3">
        <v>45996</v>
      </c>
      <c r="BT633" s="4">
        <v>0.39097222222222222</v>
      </c>
      <c r="BU633" t="s">
        <v>98</v>
      </c>
      <c r="BV633" t="s">
        <v>84</v>
      </c>
      <c r="BY633">
        <v>89692.160000000003</v>
      </c>
      <c r="CA633" t="s">
        <v>99</v>
      </c>
      <c r="CC633" t="s">
        <v>95</v>
      </c>
      <c r="CD633">
        <v>3610</v>
      </c>
      <c r="CE633" t="s">
        <v>86</v>
      </c>
      <c r="CF633" s="3">
        <v>45996</v>
      </c>
      <c r="CI633">
        <v>1</v>
      </c>
      <c r="CJ633">
        <v>1</v>
      </c>
      <c r="CK633">
        <v>41</v>
      </c>
      <c r="CL633" t="s">
        <v>87</v>
      </c>
    </row>
    <row r="634" spans="1:90" x14ac:dyDescent="0.3">
      <c r="A634" t="s">
        <v>72</v>
      </c>
      <c r="B634" t="s">
        <v>73</v>
      </c>
      <c r="C634" t="s">
        <v>74</v>
      </c>
      <c r="E634" t="str">
        <f>"080069678015"</f>
        <v>080069678015</v>
      </c>
      <c r="F634" s="3">
        <v>45995</v>
      </c>
      <c r="G634">
        <v>202609</v>
      </c>
      <c r="H634" t="s">
        <v>75</v>
      </c>
      <c r="I634" t="s">
        <v>76</v>
      </c>
      <c r="J634" t="s">
        <v>77</v>
      </c>
      <c r="K634" t="s">
        <v>78</v>
      </c>
      <c r="L634" t="s">
        <v>302</v>
      </c>
      <c r="M634" t="s">
        <v>303</v>
      </c>
      <c r="N634" t="s">
        <v>590</v>
      </c>
      <c r="O634" t="s">
        <v>89</v>
      </c>
      <c r="P634" t="str">
        <f>"4170071833                    "</f>
        <v xml:space="preserve">4170071833                    </v>
      </c>
      <c r="Q634">
        <v>0</v>
      </c>
      <c r="R634">
        <v>0</v>
      </c>
      <c r="S634">
        <v>0</v>
      </c>
      <c r="T634">
        <v>0</v>
      </c>
      <c r="U634">
        <v>0</v>
      </c>
      <c r="V634">
        <v>0</v>
      </c>
      <c r="W634">
        <v>0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0</v>
      </c>
      <c r="AD634">
        <v>0</v>
      </c>
      <c r="AE634">
        <v>0</v>
      </c>
      <c r="AF634">
        <v>0</v>
      </c>
      <c r="AG634">
        <v>0</v>
      </c>
      <c r="AH634">
        <v>0</v>
      </c>
      <c r="AI634">
        <v>0</v>
      </c>
      <c r="AJ634">
        <v>0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25.52</v>
      </c>
      <c r="AR634">
        <v>0</v>
      </c>
      <c r="AS634">
        <v>0</v>
      </c>
      <c r="AT634">
        <v>0</v>
      </c>
      <c r="AU634">
        <v>0</v>
      </c>
      <c r="AV634">
        <v>0</v>
      </c>
      <c r="AW634">
        <v>0</v>
      </c>
      <c r="AX634">
        <v>0</v>
      </c>
      <c r="AY634">
        <v>0</v>
      </c>
      <c r="AZ634">
        <v>0</v>
      </c>
      <c r="BA634">
        <v>0</v>
      </c>
      <c r="BB634">
        <v>0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1</v>
      </c>
      <c r="BI634">
        <v>1</v>
      </c>
      <c r="BJ634">
        <v>1.8</v>
      </c>
      <c r="BK634">
        <v>2</v>
      </c>
      <c r="BL634">
        <v>76.06</v>
      </c>
      <c r="BM634">
        <v>11.41</v>
      </c>
      <c r="BN634">
        <v>87.47</v>
      </c>
      <c r="BO634">
        <v>87.47</v>
      </c>
      <c r="BQ634" t="s">
        <v>591</v>
      </c>
      <c r="BR634" t="s">
        <v>82</v>
      </c>
      <c r="BS634" t="s">
        <v>500</v>
      </c>
      <c r="BY634">
        <v>8816</v>
      </c>
      <c r="CC634" t="s">
        <v>303</v>
      </c>
      <c r="CD634" s="5" t="s">
        <v>433</v>
      </c>
      <c r="CE634" t="s">
        <v>86</v>
      </c>
      <c r="CI634">
        <v>1</v>
      </c>
      <c r="CJ634" t="s">
        <v>500</v>
      </c>
      <c r="CK634">
        <v>21</v>
      </c>
      <c r="CL634" t="s">
        <v>87</v>
      </c>
    </row>
    <row r="635" spans="1:90" x14ac:dyDescent="0.3">
      <c r="A635" t="s">
        <v>72</v>
      </c>
      <c r="B635" t="s">
        <v>73</v>
      </c>
      <c r="C635" t="s">
        <v>74</v>
      </c>
      <c r="E635" t="str">
        <f>"080069678089"</f>
        <v>080069678089</v>
      </c>
      <c r="F635" s="3">
        <v>45995</v>
      </c>
      <c r="G635">
        <v>202609</v>
      </c>
      <c r="H635" t="s">
        <v>75</v>
      </c>
      <c r="I635" t="s">
        <v>76</v>
      </c>
      <c r="J635" t="s">
        <v>77</v>
      </c>
      <c r="K635" t="s">
        <v>78</v>
      </c>
      <c r="L635" t="s">
        <v>302</v>
      </c>
      <c r="M635" t="s">
        <v>303</v>
      </c>
      <c r="N635" t="s">
        <v>1369</v>
      </c>
      <c r="O635" t="s">
        <v>80</v>
      </c>
      <c r="P635" t="str">
        <f>"4170071971                    "</f>
        <v xml:space="preserve">4170071971                    </v>
      </c>
      <c r="Q635">
        <v>0</v>
      </c>
      <c r="R635">
        <v>0</v>
      </c>
      <c r="S635">
        <v>0</v>
      </c>
      <c r="T635">
        <v>0</v>
      </c>
      <c r="U635">
        <v>0</v>
      </c>
      <c r="V635">
        <v>0</v>
      </c>
      <c r="W635">
        <v>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0</v>
      </c>
      <c r="AD635">
        <v>0</v>
      </c>
      <c r="AE635">
        <v>0</v>
      </c>
      <c r="AF635">
        <v>0</v>
      </c>
      <c r="AG635">
        <v>0</v>
      </c>
      <c r="AH635">
        <v>0</v>
      </c>
      <c r="AI635">
        <v>0</v>
      </c>
      <c r="AJ635">
        <v>0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49.36</v>
      </c>
      <c r="AR635">
        <v>0</v>
      </c>
      <c r="AS635">
        <v>0</v>
      </c>
      <c r="AT635">
        <v>0</v>
      </c>
      <c r="AU635">
        <v>0</v>
      </c>
      <c r="AV635">
        <v>0</v>
      </c>
      <c r="AW635">
        <v>0</v>
      </c>
      <c r="AX635">
        <v>0</v>
      </c>
      <c r="AY635">
        <v>0</v>
      </c>
      <c r="AZ635">
        <v>0</v>
      </c>
      <c r="BA635">
        <v>0</v>
      </c>
      <c r="BB635">
        <v>0</v>
      </c>
      <c r="BC635">
        <v>0</v>
      </c>
      <c r="BD635">
        <v>0</v>
      </c>
      <c r="BE635">
        <v>0</v>
      </c>
      <c r="BF635">
        <v>0</v>
      </c>
      <c r="BG635">
        <v>0</v>
      </c>
      <c r="BH635">
        <v>1</v>
      </c>
      <c r="BI635">
        <v>3.8</v>
      </c>
      <c r="BJ635">
        <v>2.5</v>
      </c>
      <c r="BK635">
        <v>4</v>
      </c>
      <c r="BL635">
        <v>153.19999999999999</v>
      </c>
      <c r="BM635">
        <v>22.98</v>
      </c>
      <c r="BN635">
        <v>176.18</v>
      </c>
      <c r="BO635">
        <v>176.18</v>
      </c>
      <c r="BQ635" t="s">
        <v>1370</v>
      </c>
      <c r="BR635" t="s">
        <v>82</v>
      </c>
      <c r="BS635" s="3">
        <v>45996</v>
      </c>
      <c r="BT635" s="4">
        <v>0.48680555555555555</v>
      </c>
      <c r="BU635" t="s">
        <v>1371</v>
      </c>
      <c r="BV635" t="s">
        <v>84</v>
      </c>
      <c r="BY635">
        <v>12392.46</v>
      </c>
      <c r="CA635">
        <v>8303236124087</v>
      </c>
      <c r="CC635" t="s">
        <v>303</v>
      </c>
      <c r="CD635" s="5" t="s">
        <v>307</v>
      </c>
      <c r="CE635" t="s">
        <v>93</v>
      </c>
      <c r="CF635" s="3">
        <v>45996</v>
      </c>
      <c r="CI635">
        <v>1</v>
      </c>
      <c r="CJ635">
        <v>1</v>
      </c>
      <c r="CK635">
        <v>41</v>
      </c>
      <c r="CL635" t="s">
        <v>87</v>
      </c>
    </row>
    <row r="636" spans="1:90" x14ac:dyDescent="0.3">
      <c r="A636" t="s">
        <v>72</v>
      </c>
      <c r="B636" t="s">
        <v>73</v>
      </c>
      <c r="C636" t="s">
        <v>74</v>
      </c>
      <c r="E636" t="str">
        <f>"080069678162"</f>
        <v>080069678162</v>
      </c>
      <c r="F636" s="3">
        <v>45995</v>
      </c>
      <c r="G636">
        <v>202609</v>
      </c>
      <c r="H636" t="s">
        <v>75</v>
      </c>
      <c r="I636" t="s">
        <v>76</v>
      </c>
      <c r="J636" t="s">
        <v>77</v>
      </c>
      <c r="K636" t="s">
        <v>78</v>
      </c>
      <c r="L636" t="s">
        <v>128</v>
      </c>
      <c r="M636" t="s">
        <v>129</v>
      </c>
      <c r="N636" t="s">
        <v>183</v>
      </c>
      <c r="O636" t="s">
        <v>89</v>
      </c>
      <c r="P636" t="str">
        <f>"4170071840                    "</f>
        <v xml:space="preserve">4170071840                    </v>
      </c>
      <c r="Q636">
        <v>0</v>
      </c>
      <c r="R636">
        <v>0</v>
      </c>
      <c r="S636">
        <v>0</v>
      </c>
      <c r="T636">
        <v>0</v>
      </c>
      <c r="U636">
        <v>0</v>
      </c>
      <c r="V636">
        <v>0</v>
      </c>
      <c r="W636">
        <v>0</v>
      </c>
      <c r="X636">
        <v>0</v>
      </c>
      <c r="Y636">
        <v>0</v>
      </c>
      <c r="Z636">
        <v>0</v>
      </c>
      <c r="AA636">
        <v>0</v>
      </c>
      <c r="AB636">
        <v>0</v>
      </c>
      <c r="AC636">
        <v>0</v>
      </c>
      <c r="AD636">
        <v>0</v>
      </c>
      <c r="AE636">
        <v>0</v>
      </c>
      <c r="AF636">
        <v>0</v>
      </c>
      <c r="AG636">
        <v>0</v>
      </c>
      <c r="AH636">
        <v>0</v>
      </c>
      <c r="AI636">
        <v>0</v>
      </c>
      <c r="AJ636">
        <v>0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25.52</v>
      </c>
      <c r="AR636">
        <v>0</v>
      </c>
      <c r="AS636">
        <v>0</v>
      </c>
      <c r="AT636">
        <v>0</v>
      </c>
      <c r="AU636">
        <v>0</v>
      </c>
      <c r="AV636">
        <v>0</v>
      </c>
      <c r="AW636">
        <v>0</v>
      </c>
      <c r="AX636">
        <v>0</v>
      </c>
      <c r="AY636">
        <v>0</v>
      </c>
      <c r="AZ636">
        <v>0</v>
      </c>
      <c r="BA636">
        <v>0</v>
      </c>
      <c r="BB636">
        <v>0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1</v>
      </c>
      <c r="BI636">
        <v>1</v>
      </c>
      <c r="BJ636">
        <v>1.8</v>
      </c>
      <c r="BK636">
        <v>2</v>
      </c>
      <c r="BL636">
        <v>76.06</v>
      </c>
      <c r="BM636">
        <v>11.41</v>
      </c>
      <c r="BN636">
        <v>87.47</v>
      </c>
      <c r="BO636">
        <v>87.47</v>
      </c>
      <c r="BQ636" t="s">
        <v>184</v>
      </c>
      <c r="BR636" t="s">
        <v>82</v>
      </c>
      <c r="BS636" s="3">
        <v>45996</v>
      </c>
      <c r="BT636" s="4">
        <v>0.51041666666666663</v>
      </c>
      <c r="BU636" t="s">
        <v>1372</v>
      </c>
      <c r="BV636" t="s">
        <v>87</v>
      </c>
      <c r="BW636" t="s">
        <v>722</v>
      </c>
      <c r="BX636" t="s">
        <v>1293</v>
      </c>
      <c r="BY636">
        <v>8816</v>
      </c>
      <c r="CA636" t="s">
        <v>188</v>
      </c>
      <c r="CC636" t="s">
        <v>129</v>
      </c>
      <c r="CD636">
        <v>5201</v>
      </c>
      <c r="CE636" t="s">
        <v>86</v>
      </c>
      <c r="CF636" s="3">
        <v>45999</v>
      </c>
      <c r="CI636">
        <v>1</v>
      </c>
      <c r="CJ636">
        <v>1</v>
      </c>
      <c r="CK636">
        <v>21</v>
      </c>
      <c r="CL636" t="s">
        <v>87</v>
      </c>
    </row>
    <row r="637" spans="1:90" x14ac:dyDescent="0.3">
      <c r="A637" t="s">
        <v>72</v>
      </c>
      <c r="B637" t="s">
        <v>73</v>
      </c>
      <c r="C637" t="s">
        <v>74</v>
      </c>
      <c r="E637" t="str">
        <f>"080069678238"</f>
        <v>080069678238</v>
      </c>
      <c r="F637" s="3">
        <v>45995</v>
      </c>
      <c r="G637">
        <v>202609</v>
      </c>
      <c r="H637" t="s">
        <v>75</v>
      </c>
      <c r="I637" t="s">
        <v>76</v>
      </c>
      <c r="J637" t="s">
        <v>77</v>
      </c>
      <c r="K637" t="s">
        <v>78</v>
      </c>
      <c r="L637" t="s">
        <v>562</v>
      </c>
      <c r="M637" t="s">
        <v>563</v>
      </c>
      <c r="N637" t="s">
        <v>564</v>
      </c>
      <c r="O637" t="s">
        <v>340</v>
      </c>
      <c r="P637" t="str">
        <f>"4170071974                    "</f>
        <v xml:space="preserve">4170071974                    </v>
      </c>
      <c r="Q637">
        <v>0</v>
      </c>
      <c r="R637">
        <v>0</v>
      </c>
      <c r="S637">
        <v>0</v>
      </c>
      <c r="T637">
        <v>0</v>
      </c>
      <c r="U637">
        <v>0</v>
      </c>
      <c r="V637">
        <v>0</v>
      </c>
      <c r="W637">
        <v>0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0</v>
      </c>
      <c r="AD637">
        <v>0</v>
      </c>
      <c r="AE637">
        <v>0</v>
      </c>
      <c r="AF637">
        <v>0</v>
      </c>
      <c r="AG637">
        <v>0</v>
      </c>
      <c r="AH637">
        <v>0</v>
      </c>
      <c r="AI637">
        <v>0</v>
      </c>
      <c r="AJ637">
        <v>0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100.53</v>
      </c>
      <c r="AR637">
        <v>0</v>
      </c>
      <c r="AS637">
        <v>0</v>
      </c>
      <c r="AT637">
        <v>0</v>
      </c>
      <c r="AU637">
        <v>0</v>
      </c>
      <c r="AV637">
        <v>0</v>
      </c>
      <c r="AW637">
        <v>0</v>
      </c>
      <c r="AX637">
        <v>0</v>
      </c>
      <c r="AY637">
        <v>0</v>
      </c>
      <c r="AZ637">
        <v>0</v>
      </c>
      <c r="BA637">
        <v>0</v>
      </c>
      <c r="BB637">
        <v>0</v>
      </c>
      <c r="BC637">
        <v>0</v>
      </c>
      <c r="BD637">
        <v>0</v>
      </c>
      <c r="BE637">
        <v>0</v>
      </c>
      <c r="BF637">
        <v>0</v>
      </c>
      <c r="BG637">
        <v>0</v>
      </c>
      <c r="BH637">
        <v>1</v>
      </c>
      <c r="BI637">
        <v>5</v>
      </c>
      <c r="BJ637">
        <v>1.9</v>
      </c>
      <c r="BK637">
        <v>5</v>
      </c>
      <c r="BL637">
        <v>299.58999999999997</v>
      </c>
      <c r="BM637">
        <v>44.94</v>
      </c>
      <c r="BN637">
        <v>344.53</v>
      </c>
      <c r="BO637">
        <v>344.53</v>
      </c>
      <c r="BQ637" t="s">
        <v>565</v>
      </c>
      <c r="BR637" t="s">
        <v>82</v>
      </c>
      <c r="BS637" s="3">
        <v>46002</v>
      </c>
      <c r="BT637" s="4">
        <v>0.41666666666666669</v>
      </c>
      <c r="BU637" t="s">
        <v>1373</v>
      </c>
      <c r="BV637" t="s">
        <v>87</v>
      </c>
      <c r="BW637" t="s">
        <v>174</v>
      </c>
      <c r="BX637" t="s">
        <v>640</v>
      </c>
      <c r="BY637">
        <v>9600</v>
      </c>
      <c r="CC637" t="s">
        <v>563</v>
      </c>
      <c r="CD637">
        <v>1779</v>
      </c>
      <c r="CE637" t="s">
        <v>86</v>
      </c>
      <c r="CI637">
        <v>1</v>
      </c>
      <c r="CJ637">
        <v>5</v>
      </c>
      <c r="CK637">
        <v>34</v>
      </c>
      <c r="CL637" t="s">
        <v>87</v>
      </c>
    </row>
    <row r="638" spans="1:90" x14ac:dyDescent="0.3">
      <c r="A638" t="s">
        <v>72</v>
      </c>
      <c r="B638" t="s">
        <v>73</v>
      </c>
      <c r="C638" t="s">
        <v>74</v>
      </c>
      <c r="E638" t="str">
        <f>"080069678274"</f>
        <v>080069678274</v>
      </c>
      <c r="F638" s="3">
        <v>45995</v>
      </c>
      <c r="G638">
        <v>202609</v>
      </c>
      <c r="H638" t="s">
        <v>75</v>
      </c>
      <c r="I638" t="s">
        <v>76</v>
      </c>
      <c r="J638" t="s">
        <v>77</v>
      </c>
      <c r="K638" t="s">
        <v>78</v>
      </c>
      <c r="L638" t="s">
        <v>109</v>
      </c>
      <c r="M638" t="s">
        <v>110</v>
      </c>
      <c r="N638" t="s">
        <v>111</v>
      </c>
      <c r="O638" t="s">
        <v>80</v>
      </c>
      <c r="P638" t="str">
        <f>"4170071923                    "</f>
        <v xml:space="preserve">4170071923                    </v>
      </c>
      <c r="Q638">
        <v>0</v>
      </c>
      <c r="R638">
        <v>0</v>
      </c>
      <c r="S638">
        <v>0</v>
      </c>
      <c r="T638">
        <v>0</v>
      </c>
      <c r="U638">
        <v>0</v>
      </c>
      <c r="V638">
        <v>0</v>
      </c>
      <c r="W638">
        <v>0</v>
      </c>
      <c r="X638">
        <v>0</v>
      </c>
      <c r="Y638">
        <v>0</v>
      </c>
      <c r="Z638">
        <v>0</v>
      </c>
      <c r="AA638">
        <v>0</v>
      </c>
      <c r="AB638">
        <v>0</v>
      </c>
      <c r="AC638">
        <v>0</v>
      </c>
      <c r="AD638">
        <v>0</v>
      </c>
      <c r="AE638">
        <v>0</v>
      </c>
      <c r="AF638">
        <v>0</v>
      </c>
      <c r="AG638">
        <v>0</v>
      </c>
      <c r="AH638">
        <v>0</v>
      </c>
      <c r="AI638">
        <v>0</v>
      </c>
      <c r="AJ638">
        <v>0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61.63</v>
      </c>
      <c r="AR638">
        <v>0</v>
      </c>
      <c r="AS638">
        <v>0</v>
      </c>
      <c r="AT638">
        <v>0</v>
      </c>
      <c r="AU638">
        <v>0</v>
      </c>
      <c r="AV638">
        <v>0</v>
      </c>
      <c r="AW638">
        <v>0</v>
      </c>
      <c r="AX638">
        <v>0</v>
      </c>
      <c r="AY638">
        <v>0</v>
      </c>
      <c r="AZ638">
        <v>0</v>
      </c>
      <c r="BA638">
        <v>0</v>
      </c>
      <c r="BB638">
        <v>0</v>
      </c>
      <c r="BC638">
        <v>0</v>
      </c>
      <c r="BD638">
        <v>0</v>
      </c>
      <c r="BE638">
        <v>0</v>
      </c>
      <c r="BF638">
        <v>0</v>
      </c>
      <c r="BG638">
        <v>0</v>
      </c>
      <c r="BH638">
        <v>1</v>
      </c>
      <c r="BI638">
        <v>20</v>
      </c>
      <c r="BJ638">
        <v>17.100000000000001</v>
      </c>
      <c r="BK638">
        <v>20</v>
      </c>
      <c r="BL638">
        <v>189.77</v>
      </c>
      <c r="BM638">
        <v>28.47</v>
      </c>
      <c r="BN638">
        <v>218.24</v>
      </c>
      <c r="BO638">
        <v>218.24</v>
      </c>
      <c r="BQ638" t="s">
        <v>112</v>
      </c>
      <c r="BR638" t="s">
        <v>82</v>
      </c>
      <c r="BS638" s="3">
        <v>45996</v>
      </c>
      <c r="BT638" s="4">
        <v>0.66249999999999998</v>
      </c>
      <c r="BU638" t="s">
        <v>1374</v>
      </c>
      <c r="BV638" t="s">
        <v>84</v>
      </c>
      <c r="BY638">
        <v>85371.98</v>
      </c>
      <c r="CC638" t="s">
        <v>110</v>
      </c>
      <c r="CD638">
        <v>1748</v>
      </c>
      <c r="CE638" t="s">
        <v>86</v>
      </c>
      <c r="CF638" s="3">
        <v>45997</v>
      </c>
      <c r="CI638">
        <v>1</v>
      </c>
      <c r="CJ638">
        <v>1</v>
      </c>
      <c r="CK638">
        <v>44</v>
      </c>
      <c r="CL638" t="s">
        <v>87</v>
      </c>
    </row>
    <row r="639" spans="1:90" x14ac:dyDescent="0.3">
      <c r="A639" t="s">
        <v>72</v>
      </c>
      <c r="B639" t="s">
        <v>73</v>
      </c>
      <c r="C639" t="s">
        <v>74</v>
      </c>
      <c r="E639" t="str">
        <f>"080069678552"</f>
        <v>080069678552</v>
      </c>
      <c r="F639" s="3">
        <v>45995</v>
      </c>
      <c r="G639">
        <v>202609</v>
      </c>
      <c r="H639" t="s">
        <v>75</v>
      </c>
      <c r="I639" t="s">
        <v>76</v>
      </c>
      <c r="J639" t="s">
        <v>77</v>
      </c>
      <c r="K639" t="s">
        <v>78</v>
      </c>
      <c r="L639" t="s">
        <v>141</v>
      </c>
      <c r="M639" t="s">
        <v>142</v>
      </c>
      <c r="N639" t="s">
        <v>1375</v>
      </c>
      <c r="O639" t="s">
        <v>89</v>
      </c>
      <c r="P639" t="str">
        <f>"4170071964                    "</f>
        <v xml:space="preserve">4170071964                    </v>
      </c>
      <c r="Q639">
        <v>0</v>
      </c>
      <c r="R639">
        <v>0</v>
      </c>
      <c r="S639">
        <v>0</v>
      </c>
      <c r="T639">
        <v>0</v>
      </c>
      <c r="U639">
        <v>0</v>
      </c>
      <c r="V639">
        <v>0</v>
      </c>
      <c r="W639">
        <v>0</v>
      </c>
      <c r="X639">
        <v>0</v>
      </c>
      <c r="Y639">
        <v>0</v>
      </c>
      <c r="Z639">
        <v>0</v>
      </c>
      <c r="AA639">
        <v>0</v>
      </c>
      <c r="AB639">
        <v>0</v>
      </c>
      <c r="AC639">
        <v>0</v>
      </c>
      <c r="AD639">
        <v>0</v>
      </c>
      <c r="AE639">
        <v>0</v>
      </c>
      <c r="AF639">
        <v>0</v>
      </c>
      <c r="AG639">
        <v>0</v>
      </c>
      <c r="AH639">
        <v>0</v>
      </c>
      <c r="AI639">
        <v>0</v>
      </c>
      <c r="AJ639">
        <v>0</v>
      </c>
      <c r="AK639">
        <v>0</v>
      </c>
      <c r="AL639">
        <v>0</v>
      </c>
      <c r="AM639">
        <v>0</v>
      </c>
      <c r="AN639">
        <v>0</v>
      </c>
      <c r="AO639">
        <v>0</v>
      </c>
      <c r="AP639">
        <v>0</v>
      </c>
      <c r="AQ639">
        <v>76.55</v>
      </c>
      <c r="AR639">
        <v>0</v>
      </c>
      <c r="AS639">
        <v>0</v>
      </c>
      <c r="AT639">
        <v>0</v>
      </c>
      <c r="AU639">
        <v>0</v>
      </c>
      <c r="AV639">
        <v>0</v>
      </c>
      <c r="AW639">
        <v>0</v>
      </c>
      <c r="AX639">
        <v>0</v>
      </c>
      <c r="AY639">
        <v>0</v>
      </c>
      <c r="AZ639">
        <v>0</v>
      </c>
      <c r="BA639">
        <v>0</v>
      </c>
      <c r="BB639">
        <v>0</v>
      </c>
      <c r="BC639">
        <v>0</v>
      </c>
      <c r="BD639">
        <v>0</v>
      </c>
      <c r="BE639">
        <v>0</v>
      </c>
      <c r="BF639">
        <v>0</v>
      </c>
      <c r="BG639">
        <v>0</v>
      </c>
      <c r="BH639">
        <v>1</v>
      </c>
      <c r="BI639">
        <v>6</v>
      </c>
      <c r="BJ639">
        <v>3.6</v>
      </c>
      <c r="BK639">
        <v>6</v>
      </c>
      <c r="BL639">
        <v>228.13</v>
      </c>
      <c r="BM639">
        <v>34.22</v>
      </c>
      <c r="BN639">
        <v>262.35000000000002</v>
      </c>
      <c r="BO639">
        <v>262.35000000000002</v>
      </c>
      <c r="BQ639" t="s">
        <v>1376</v>
      </c>
      <c r="BR639" t="s">
        <v>82</v>
      </c>
      <c r="BS639" s="3">
        <v>45996</v>
      </c>
      <c r="BT639" s="4">
        <v>0.41111111111111109</v>
      </c>
      <c r="BU639" t="s">
        <v>1377</v>
      </c>
      <c r="BV639" t="s">
        <v>84</v>
      </c>
      <c r="BY639">
        <v>18000</v>
      </c>
      <c r="CA639" t="s">
        <v>1228</v>
      </c>
      <c r="CC639" t="s">
        <v>142</v>
      </c>
      <c r="CD639">
        <v>6001</v>
      </c>
      <c r="CE639" t="s">
        <v>86</v>
      </c>
      <c r="CF639" s="3">
        <v>45996</v>
      </c>
      <c r="CI639">
        <v>1</v>
      </c>
      <c r="CJ639">
        <v>1</v>
      </c>
      <c r="CK639">
        <v>21</v>
      </c>
      <c r="CL639" t="s">
        <v>87</v>
      </c>
    </row>
    <row r="640" spans="1:90" x14ac:dyDescent="0.3">
      <c r="A640" t="s">
        <v>72</v>
      </c>
      <c r="B640" t="s">
        <v>73</v>
      </c>
      <c r="C640" t="s">
        <v>74</v>
      </c>
      <c r="E640" t="str">
        <f>"080069678594"</f>
        <v>080069678594</v>
      </c>
      <c r="F640" s="3">
        <v>45995</v>
      </c>
      <c r="G640">
        <v>202609</v>
      </c>
      <c r="H640" t="s">
        <v>75</v>
      </c>
      <c r="I640" t="s">
        <v>76</v>
      </c>
      <c r="J640" t="s">
        <v>77</v>
      </c>
      <c r="K640" t="s">
        <v>78</v>
      </c>
      <c r="L640" t="s">
        <v>465</v>
      </c>
      <c r="M640" t="s">
        <v>466</v>
      </c>
      <c r="N640" t="s">
        <v>1020</v>
      </c>
      <c r="O640" t="s">
        <v>340</v>
      </c>
      <c r="P640" t="str">
        <f>"4170071973                    "</f>
        <v xml:space="preserve">4170071973                    </v>
      </c>
      <c r="Q640">
        <v>0</v>
      </c>
      <c r="R640">
        <v>0</v>
      </c>
      <c r="S640">
        <v>0</v>
      </c>
      <c r="T640">
        <v>0</v>
      </c>
      <c r="U640">
        <v>0</v>
      </c>
      <c r="V640">
        <v>0</v>
      </c>
      <c r="W640">
        <v>0</v>
      </c>
      <c r="X640">
        <v>0</v>
      </c>
      <c r="Y640">
        <v>0</v>
      </c>
      <c r="Z640">
        <v>0</v>
      </c>
      <c r="AA640">
        <v>0</v>
      </c>
      <c r="AB640">
        <v>0</v>
      </c>
      <c r="AC640">
        <v>0</v>
      </c>
      <c r="AD640">
        <v>0</v>
      </c>
      <c r="AE640">
        <v>0</v>
      </c>
      <c r="AF640">
        <v>0</v>
      </c>
      <c r="AG640">
        <v>0</v>
      </c>
      <c r="AH640">
        <v>0</v>
      </c>
      <c r="AI640">
        <v>0</v>
      </c>
      <c r="AJ640">
        <v>0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19.940000000000001</v>
      </c>
      <c r="AR640">
        <v>0</v>
      </c>
      <c r="AS640">
        <v>0</v>
      </c>
      <c r="AT640">
        <v>0</v>
      </c>
      <c r="AU640">
        <v>0</v>
      </c>
      <c r="AV640">
        <v>0</v>
      </c>
      <c r="AW640">
        <v>0</v>
      </c>
      <c r="AX640">
        <v>0</v>
      </c>
      <c r="AY640">
        <v>0</v>
      </c>
      <c r="AZ640">
        <v>0</v>
      </c>
      <c r="BA640">
        <v>0</v>
      </c>
      <c r="BB640">
        <v>0</v>
      </c>
      <c r="BC640">
        <v>0</v>
      </c>
      <c r="BD640">
        <v>0</v>
      </c>
      <c r="BE640">
        <v>0</v>
      </c>
      <c r="BF640">
        <v>0</v>
      </c>
      <c r="BG640">
        <v>0</v>
      </c>
      <c r="BH640">
        <v>1</v>
      </c>
      <c r="BI640">
        <v>2.2000000000000002</v>
      </c>
      <c r="BJ640">
        <v>3.9</v>
      </c>
      <c r="BK640">
        <v>4</v>
      </c>
      <c r="BL640">
        <v>59.43</v>
      </c>
      <c r="BM640">
        <v>8.91</v>
      </c>
      <c r="BN640">
        <v>68.34</v>
      </c>
      <c r="BO640">
        <v>68.34</v>
      </c>
      <c r="BQ640" t="s">
        <v>1021</v>
      </c>
      <c r="BR640" t="s">
        <v>82</v>
      </c>
      <c r="BS640" s="3">
        <v>45996</v>
      </c>
      <c r="BT640" s="4">
        <v>0.52430555555555558</v>
      </c>
      <c r="BU640" t="s">
        <v>1378</v>
      </c>
      <c r="BV640" t="s">
        <v>84</v>
      </c>
      <c r="BY640">
        <v>19550.43</v>
      </c>
      <c r="CA640" t="s">
        <v>1249</v>
      </c>
      <c r="CC640" t="s">
        <v>466</v>
      </c>
      <c r="CD640">
        <v>1401</v>
      </c>
      <c r="CE640" t="s">
        <v>86</v>
      </c>
      <c r="CF640" s="3">
        <v>45997</v>
      </c>
      <c r="CI640">
        <v>1</v>
      </c>
      <c r="CJ640">
        <v>1</v>
      </c>
      <c r="CK640">
        <v>32</v>
      </c>
      <c r="CL640" t="s">
        <v>87</v>
      </c>
    </row>
    <row r="641" spans="1:90" x14ac:dyDescent="0.3">
      <c r="A641" t="s">
        <v>72</v>
      </c>
      <c r="B641" t="s">
        <v>73</v>
      </c>
      <c r="C641" t="s">
        <v>74</v>
      </c>
      <c r="E641" t="str">
        <f>"080069678666"</f>
        <v>080069678666</v>
      </c>
      <c r="F641" s="3">
        <v>45995</v>
      </c>
      <c r="G641">
        <v>202609</v>
      </c>
      <c r="H641" t="s">
        <v>75</v>
      </c>
      <c r="I641" t="s">
        <v>76</v>
      </c>
      <c r="J641" t="s">
        <v>77</v>
      </c>
      <c r="K641" t="s">
        <v>78</v>
      </c>
      <c r="L641" t="s">
        <v>302</v>
      </c>
      <c r="M641" t="s">
        <v>303</v>
      </c>
      <c r="N641" t="s">
        <v>304</v>
      </c>
      <c r="O641" t="s">
        <v>80</v>
      </c>
      <c r="P641" t="str">
        <f>"4170071858                    "</f>
        <v xml:space="preserve">4170071858                    </v>
      </c>
      <c r="Q641">
        <v>0</v>
      </c>
      <c r="R641">
        <v>0</v>
      </c>
      <c r="S641">
        <v>0</v>
      </c>
      <c r="T641">
        <v>0</v>
      </c>
      <c r="U641">
        <v>0</v>
      </c>
      <c r="V641">
        <v>0</v>
      </c>
      <c r="W641">
        <v>0</v>
      </c>
      <c r="X641">
        <v>0</v>
      </c>
      <c r="Y641">
        <v>0</v>
      </c>
      <c r="Z641">
        <v>0</v>
      </c>
      <c r="AA641">
        <v>0</v>
      </c>
      <c r="AB641">
        <v>0</v>
      </c>
      <c r="AC641">
        <v>0</v>
      </c>
      <c r="AD641">
        <v>0</v>
      </c>
      <c r="AE641">
        <v>0</v>
      </c>
      <c r="AF641">
        <v>0</v>
      </c>
      <c r="AG641">
        <v>0</v>
      </c>
      <c r="AH641">
        <v>0</v>
      </c>
      <c r="AI641">
        <v>0</v>
      </c>
      <c r="AJ641">
        <v>0</v>
      </c>
      <c r="AK641">
        <v>0</v>
      </c>
      <c r="AL641">
        <v>0</v>
      </c>
      <c r="AM641">
        <v>0</v>
      </c>
      <c r="AN641">
        <v>0</v>
      </c>
      <c r="AO641">
        <v>0</v>
      </c>
      <c r="AP641">
        <v>0</v>
      </c>
      <c r="AQ641">
        <v>55.48</v>
      </c>
      <c r="AR641">
        <v>0</v>
      </c>
      <c r="AS641">
        <v>0</v>
      </c>
      <c r="AT641">
        <v>0</v>
      </c>
      <c r="AU641">
        <v>0</v>
      </c>
      <c r="AV641">
        <v>0</v>
      </c>
      <c r="AW641">
        <v>0</v>
      </c>
      <c r="AX641">
        <v>0</v>
      </c>
      <c r="AY641">
        <v>0</v>
      </c>
      <c r="AZ641">
        <v>0</v>
      </c>
      <c r="BA641">
        <v>0</v>
      </c>
      <c r="BB641">
        <v>0</v>
      </c>
      <c r="BC641">
        <v>0</v>
      </c>
      <c r="BD641">
        <v>0</v>
      </c>
      <c r="BE641">
        <v>0</v>
      </c>
      <c r="BF641">
        <v>0</v>
      </c>
      <c r="BG641">
        <v>0</v>
      </c>
      <c r="BH641">
        <v>1</v>
      </c>
      <c r="BI641">
        <v>18</v>
      </c>
      <c r="BJ641">
        <v>3.8</v>
      </c>
      <c r="BK641">
        <v>18</v>
      </c>
      <c r="BL641">
        <v>171.44</v>
      </c>
      <c r="BM641">
        <v>25.72</v>
      </c>
      <c r="BN641">
        <v>197.16</v>
      </c>
      <c r="BO641">
        <v>197.16</v>
      </c>
      <c r="BQ641" t="s">
        <v>305</v>
      </c>
      <c r="BR641" t="s">
        <v>82</v>
      </c>
      <c r="BS641" s="3">
        <v>45996</v>
      </c>
      <c r="BT641" s="4">
        <v>0.45069444444444445</v>
      </c>
      <c r="BU641" t="s">
        <v>306</v>
      </c>
      <c r="BV641" t="s">
        <v>84</v>
      </c>
      <c r="BY641">
        <v>19161.45</v>
      </c>
      <c r="CA641">
        <v>8303236124087</v>
      </c>
      <c r="CC641" t="s">
        <v>303</v>
      </c>
      <c r="CD641" s="5" t="s">
        <v>307</v>
      </c>
      <c r="CE641" t="s">
        <v>86</v>
      </c>
      <c r="CF641" s="3">
        <v>45996</v>
      </c>
      <c r="CI641">
        <v>1</v>
      </c>
      <c r="CJ641">
        <v>1</v>
      </c>
      <c r="CK641">
        <v>41</v>
      </c>
      <c r="CL641" t="s">
        <v>87</v>
      </c>
    </row>
    <row r="642" spans="1:90" x14ac:dyDescent="0.3">
      <c r="A642" t="s">
        <v>72</v>
      </c>
      <c r="B642" t="s">
        <v>73</v>
      </c>
      <c r="C642" t="s">
        <v>74</v>
      </c>
      <c r="E642" t="str">
        <f>"080069678751"</f>
        <v>080069678751</v>
      </c>
      <c r="F642" s="3">
        <v>45995</v>
      </c>
      <c r="G642">
        <v>202609</v>
      </c>
      <c r="H642" t="s">
        <v>75</v>
      </c>
      <c r="I642" t="s">
        <v>76</v>
      </c>
      <c r="J642" t="s">
        <v>77</v>
      </c>
      <c r="K642" t="s">
        <v>78</v>
      </c>
      <c r="L642" t="s">
        <v>943</v>
      </c>
      <c r="M642" t="s">
        <v>944</v>
      </c>
      <c r="N642" t="s">
        <v>945</v>
      </c>
      <c r="O642" t="s">
        <v>340</v>
      </c>
      <c r="P642" t="str">
        <f>"4170071890                    "</f>
        <v xml:space="preserve">4170071890                    </v>
      </c>
      <c r="Q642">
        <v>0</v>
      </c>
      <c r="R642">
        <v>0</v>
      </c>
      <c r="S642">
        <v>0</v>
      </c>
      <c r="T642">
        <v>0</v>
      </c>
      <c r="U642">
        <v>0</v>
      </c>
      <c r="V642">
        <v>0</v>
      </c>
      <c r="W642">
        <v>0</v>
      </c>
      <c r="X642">
        <v>0</v>
      </c>
      <c r="Y642">
        <v>0</v>
      </c>
      <c r="Z642">
        <v>0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0</v>
      </c>
      <c r="AH642">
        <v>0</v>
      </c>
      <c r="AI642">
        <v>0</v>
      </c>
      <c r="AJ642">
        <v>0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35.6</v>
      </c>
      <c r="AR642">
        <v>0</v>
      </c>
      <c r="AS642">
        <v>0</v>
      </c>
      <c r="AT642">
        <v>0</v>
      </c>
      <c r="AU642">
        <v>0</v>
      </c>
      <c r="AV642">
        <v>0</v>
      </c>
      <c r="AW642">
        <v>0</v>
      </c>
      <c r="AX642">
        <v>0</v>
      </c>
      <c r="AY642">
        <v>0</v>
      </c>
      <c r="AZ642">
        <v>0</v>
      </c>
      <c r="BA642">
        <v>0</v>
      </c>
      <c r="BB642">
        <v>0</v>
      </c>
      <c r="BC642">
        <v>0</v>
      </c>
      <c r="BD642">
        <v>0</v>
      </c>
      <c r="BE642">
        <v>0</v>
      </c>
      <c r="BF642">
        <v>0</v>
      </c>
      <c r="BG642">
        <v>0</v>
      </c>
      <c r="BH642">
        <v>1</v>
      </c>
      <c r="BI642">
        <v>14.3</v>
      </c>
      <c r="BJ642">
        <v>4.9000000000000004</v>
      </c>
      <c r="BK642">
        <v>15</v>
      </c>
      <c r="BL642">
        <v>106.1</v>
      </c>
      <c r="BM642">
        <v>15.92</v>
      </c>
      <c r="BN642">
        <v>122.02</v>
      </c>
      <c r="BO642">
        <v>122.02</v>
      </c>
      <c r="BQ642" t="s">
        <v>946</v>
      </c>
      <c r="BR642" t="s">
        <v>82</v>
      </c>
      <c r="BS642" s="3">
        <v>45999</v>
      </c>
      <c r="BT642" s="4">
        <v>0.375</v>
      </c>
      <c r="BU642" t="s">
        <v>1379</v>
      </c>
      <c r="BV642" t="s">
        <v>87</v>
      </c>
      <c r="BW642" t="s">
        <v>174</v>
      </c>
      <c r="BX642" t="s">
        <v>198</v>
      </c>
      <c r="BY642">
        <v>24491.23</v>
      </c>
      <c r="CA642" t="s">
        <v>1256</v>
      </c>
      <c r="CC642" t="s">
        <v>944</v>
      </c>
      <c r="CD642">
        <v>1682</v>
      </c>
      <c r="CE642" t="s">
        <v>86</v>
      </c>
      <c r="CF642" s="3">
        <v>46000</v>
      </c>
      <c r="CI642">
        <v>1</v>
      </c>
      <c r="CJ642">
        <v>2</v>
      </c>
      <c r="CK642">
        <v>32</v>
      </c>
      <c r="CL642" t="s">
        <v>87</v>
      </c>
    </row>
    <row r="643" spans="1:90" x14ac:dyDescent="0.3">
      <c r="A643" t="s">
        <v>72</v>
      </c>
      <c r="B643" t="s">
        <v>73</v>
      </c>
      <c r="C643" t="s">
        <v>74</v>
      </c>
      <c r="E643" t="str">
        <f>"080069678763"</f>
        <v>080069678763</v>
      </c>
      <c r="F643" s="3">
        <v>45995</v>
      </c>
      <c r="G643">
        <v>202609</v>
      </c>
      <c r="H643" t="s">
        <v>75</v>
      </c>
      <c r="I643" t="s">
        <v>76</v>
      </c>
      <c r="J643" t="s">
        <v>77</v>
      </c>
      <c r="K643" t="s">
        <v>78</v>
      </c>
      <c r="L643" t="s">
        <v>302</v>
      </c>
      <c r="M643" t="s">
        <v>303</v>
      </c>
      <c r="N643" t="s">
        <v>347</v>
      </c>
      <c r="O643" t="s">
        <v>89</v>
      </c>
      <c r="P643" t="str">
        <f>"4170071837                    "</f>
        <v xml:space="preserve">4170071837                    </v>
      </c>
      <c r="Q643">
        <v>0</v>
      </c>
      <c r="R643">
        <v>0</v>
      </c>
      <c r="S643">
        <v>0</v>
      </c>
      <c r="T643">
        <v>0</v>
      </c>
      <c r="U643">
        <v>0</v>
      </c>
      <c r="V643">
        <v>0</v>
      </c>
      <c r="W643">
        <v>0</v>
      </c>
      <c r="X643">
        <v>0</v>
      </c>
      <c r="Y643">
        <v>0</v>
      </c>
      <c r="Z643">
        <v>0</v>
      </c>
      <c r="AA643">
        <v>0</v>
      </c>
      <c r="AB643">
        <v>0</v>
      </c>
      <c r="AC643">
        <v>0</v>
      </c>
      <c r="AD643">
        <v>0</v>
      </c>
      <c r="AE643">
        <v>0</v>
      </c>
      <c r="AF643">
        <v>0</v>
      </c>
      <c r="AG643">
        <v>0</v>
      </c>
      <c r="AH643">
        <v>0</v>
      </c>
      <c r="AI643">
        <v>0</v>
      </c>
      <c r="AJ643">
        <v>0</v>
      </c>
      <c r="AK643">
        <v>0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31.9</v>
      </c>
      <c r="AR643">
        <v>0</v>
      </c>
      <c r="AS643">
        <v>0</v>
      </c>
      <c r="AT643">
        <v>0</v>
      </c>
      <c r="AU643">
        <v>0</v>
      </c>
      <c r="AV643">
        <v>0</v>
      </c>
      <c r="AW643">
        <v>0</v>
      </c>
      <c r="AX643">
        <v>0</v>
      </c>
      <c r="AY643">
        <v>0</v>
      </c>
      <c r="AZ643">
        <v>0</v>
      </c>
      <c r="BA643">
        <v>0</v>
      </c>
      <c r="BB643">
        <v>0</v>
      </c>
      <c r="BC643">
        <v>0</v>
      </c>
      <c r="BD643">
        <v>0</v>
      </c>
      <c r="BE643">
        <v>0</v>
      </c>
      <c r="BF643">
        <v>0</v>
      </c>
      <c r="BG643">
        <v>0</v>
      </c>
      <c r="BH643">
        <v>1</v>
      </c>
      <c r="BI643">
        <v>2.2000000000000002</v>
      </c>
      <c r="BJ643">
        <v>1.7</v>
      </c>
      <c r="BK643">
        <v>2.5</v>
      </c>
      <c r="BL643">
        <v>95.07</v>
      </c>
      <c r="BM643">
        <v>14.26</v>
      </c>
      <c r="BN643">
        <v>109.33</v>
      </c>
      <c r="BO643">
        <v>109.33</v>
      </c>
      <c r="BQ643" t="s">
        <v>348</v>
      </c>
      <c r="BR643" t="s">
        <v>82</v>
      </c>
      <c r="BS643" s="3">
        <v>45996</v>
      </c>
      <c r="BT643" s="4">
        <v>0.42986111111111114</v>
      </c>
      <c r="BU643" t="s">
        <v>1380</v>
      </c>
      <c r="BV643" t="s">
        <v>84</v>
      </c>
      <c r="BY643">
        <v>8622.99</v>
      </c>
      <c r="CA643">
        <v>8507115621084</v>
      </c>
      <c r="CC643" t="s">
        <v>303</v>
      </c>
      <c r="CD643" s="5" t="s">
        <v>350</v>
      </c>
      <c r="CE643" t="s">
        <v>86</v>
      </c>
      <c r="CF643" s="3">
        <v>45996</v>
      </c>
      <c r="CI643">
        <v>1</v>
      </c>
      <c r="CJ643">
        <v>1</v>
      </c>
      <c r="CK643">
        <v>21</v>
      </c>
      <c r="CL643" t="s">
        <v>87</v>
      </c>
    </row>
    <row r="644" spans="1:90" x14ac:dyDescent="0.3">
      <c r="A644" t="s">
        <v>72</v>
      </c>
      <c r="B644" t="s">
        <v>73</v>
      </c>
      <c r="C644" t="s">
        <v>74</v>
      </c>
      <c r="E644" t="str">
        <f>"080069678808"</f>
        <v>080069678808</v>
      </c>
      <c r="F644" s="3">
        <v>45995</v>
      </c>
      <c r="G644">
        <v>202609</v>
      </c>
      <c r="H644" t="s">
        <v>75</v>
      </c>
      <c r="I644" t="s">
        <v>76</v>
      </c>
      <c r="J644" t="s">
        <v>77</v>
      </c>
      <c r="K644" t="s">
        <v>78</v>
      </c>
      <c r="L644" t="s">
        <v>141</v>
      </c>
      <c r="M644" t="s">
        <v>142</v>
      </c>
      <c r="N644" t="s">
        <v>1126</v>
      </c>
      <c r="O644" t="s">
        <v>89</v>
      </c>
      <c r="P644" t="str">
        <f>"4170071861                    "</f>
        <v xml:space="preserve">4170071861                    </v>
      </c>
      <c r="Q644">
        <v>0</v>
      </c>
      <c r="R644">
        <v>0</v>
      </c>
      <c r="S644">
        <v>0</v>
      </c>
      <c r="T644">
        <v>0</v>
      </c>
      <c r="U644">
        <v>0</v>
      </c>
      <c r="V644">
        <v>0</v>
      </c>
      <c r="W644">
        <v>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0</v>
      </c>
      <c r="AD644">
        <v>0</v>
      </c>
      <c r="AE644">
        <v>0</v>
      </c>
      <c r="AF644">
        <v>0</v>
      </c>
      <c r="AG644">
        <v>0</v>
      </c>
      <c r="AH644">
        <v>0</v>
      </c>
      <c r="AI644">
        <v>0</v>
      </c>
      <c r="AJ644">
        <v>0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51.04</v>
      </c>
      <c r="AR644">
        <v>0</v>
      </c>
      <c r="AS644">
        <v>0</v>
      </c>
      <c r="AT644">
        <v>0</v>
      </c>
      <c r="AU644">
        <v>0</v>
      </c>
      <c r="AV644">
        <v>0</v>
      </c>
      <c r="AW644">
        <v>0</v>
      </c>
      <c r="AX644">
        <v>0</v>
      </c>
      <c r="AY644">
        <v>0</v>
      </c>
      <c r="AZ644">
        <v>0</v>
      </c>
      <c r="BA644">
        <v>0</v>
      </c>
      <c r="BB644">
        <v>0</v>
      </c>
      <c r="BC644">
        <v>0</v>
      </c>
      <c r="BD644">
        <v>0</v>
      </c>
      <c r="BE644">
        <v>0</v>
      </c>
      <c r="BF644">
        <v>0</v>
      </c>
      <c r="BG644">
        <v>0</v>
      </c>
      <c r="BH644">
        <v>1</v>
      </c>
      <c r="BI644">
        <v>4</v>
      </c>
      <c r="BJ644">
        <v>1.9</v>
      </c>
      <c r="BK644">
        <v>4</v>
      </c>
      <c r="BL644">
        <v>152.1</v>
      </c>
      <c r="BM644">
        <v>22.82</v>
      </c>
      <c r="BN644">
        <v>174.92</v>
      </c>
      <c r="BO644">
        <v>174.92</v>
      </c>
      <c r="BQ644" t="s">
        <v>1127</v>
      </c>
      <c r="BR644" t="s">
        <v>82</v>
      </c>
      <c r="BS644" s="3">
        <v>45996</v>
      </c>
      <c r="BT644" s="4">
        <v>0.43611111111111112</v>
      </c>
      <c r="BU644" t="s">
        <v>1381</v>
      </c>
      <c r="BV644" t="s">
        <v>84</v>
      </c>
      <c r="BY644">
        <v>9367</v>
      </c>
      <c r="CA644" t="s">
        <v>1228</v>
      </c>
      <c r="CC644" t="s">
        <v>142</v>
      </c>
      <c r="CD644">
        <v>6001</v>
      </c>
      <c r="CE644" t="s">
        <v>86</v>
      </c>
      <c r="CF644" s="3">
        <v>45996</v>
      </c>
      <c r="CI644">
        <v>1</v>
      </c>
      <c r="CJ644">
        <v>1</v>
      </c>
      <c r="CK644">
        <v>21</v>
      </c>
      <c r="CL644" t="s">
        <v>87</v>
      </c>
    </row>
    <row r="645" spans="1:90" x14ac:dyDescent="0.3">
      <c r="A645" t="s">
        <v>72</v>
      </c>
      <c r="B645" t="s">
        <v>73</v>
      </c>
      <c r="C645" t="s">
        <v>74</v>
      </c>
      <c r="E645" t="str">
        <f>"080069678812"</f>
        <v>080069678812</v>
      </c>
      <c r="F645" s="3">
        <v>45995</v>
      </c>
      <c r="G645">
        <v>202609</v>
      </c>
      <c r="H645" t="s">
        <v>75</v>
      </c>
      <c r="I645" t="s">
        <v>76</v>
      </c>
      <c r="J645" t="s">
        <v>77</v>
      </c>
      <c r="K645" t="s">
        <v>78</v>
      </c>
      <c r="L645" t="s">
        <v>535</v>
      </c>
      <c r="M645" t="s">
        <v>535</v>
      </c>
      <c r="N645" t="s">
        <v>924</v>
      </c>
      <c r="O645" t="s">
        <v>89</v>
      </c>
      <c r="P645" t="str">
        <f>"4170071968                    "</f>
        <v xml:space="preserve">4170071968                    </v>
      </c>
      <c r="Q645">
        <v>0</v>
      </c>
      <c r="R645">
        <v>0</v>
      </c>
      <c r="S645">
        <v>0</v>
      </c>
      <c r="T645">
        <v>0</v>
      </c>
      <c r="U645">
        <v>0</v>
      </c>
      <c r="V645">
        <v>0</v>
      </c>
      <c r="W645">
        <v>0</v>
      </c>
      <c r="X645">
        <v>0</v>
      </c>
      <c r="Y645">
        <v>0</v>
      </c>
      <c r="Z645">
        <v>0</v>
      </c>
      <c r="AA645">
        <v>0</v>
      </c>
      <c r="AB645">
        <v>0</v>
      </c>
      <c r="AC645">
        <v>0</v>
      </c>
      <c r="AD645">
        <v>0</v>
      </c>
      <c r="AE645">
        <v>0</v>
      </c>
      <c r="AF645">
        <v>0</v>
      </c>
      <c r="AG645">
        <v>0</v>
      </c>
      <c r="AH645">
        <v>0</v>
      </c>
      <c r="AI645">
        <v>0</v>
      </c>
      <c r="AJ645">
        <v>0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60.62</v>
      </c>
      <c r="AR645">
        <v>0</v>
      </c>
      <c r="AS645">
        <v>0</v>
      </c>
      <c r="AT645">
        <v>0</v>
      </c>
      <c r="AU645">
        <v>0</v>
      </c>
      <c r="AV645">
        <v>0</v>
      </c>
      <c r="AW645">
        <v>0</v>
      </c>
      <c r="AX645">
        <v>0</v>
      </c>
      <c r="AY645">
        <v>0</v>
      </c>
      <c r="AZ645">
        <v>0</v>
      </c>
      <c r="BA645">
        <v>0</v>
      </c>
      <c r="BB645">
        <v>0</v>
      </c>
      <c r="BC645">
        <v>0</v>
      </c>
      <c r="BD645">
        <v>0</v>
      </c>
      <c r="BE645">
        <v>0</v>
      </c>
      <c r="BF645">
        <v>0</v>
      </c>
      <c r="BG645">
        <v>0</v>
      </c>
      <c r="BH645">
        <v>1</v>
      </c>
      <c r="BI645">
        <v>2</v>
      </c>
      <c r="BJ645">
        <v>2.2999999999999998</v>
      </c>
      <c r="BK645">
        <v>2.5</v>
      </c>
      <c r="BL645">
        <v>180.66</v>
      </c>
      <c r="BM645">
        <v>27.1</v>
      </c>
      <c r="BN645">
        <v>207.76</v>
      </c>
      <c r="BO645">
        <v>207.76</v>
      </c>
      <c r="BQ645" t="s">
        <v>925</v>
      </c>
      <c r="BR645" t="s">
        <v>82</v>
      </c>
      <c r="BS645" s="3">
        <v>45999</v>
      </c>
      <c r="BT645" s="4">
        <v>0.54166666666666663</v>
      </c>
      <c r="BU645" t="s">
        <v>1382</v>
      </c>
      <c r="BV645" t="s">
        <v>87</v>
      </c>
      <c r="BW645" t="s">
        <v>153</v>
      </c>
      <c r="BX645" t="s">
        <v>345</v>
      </c>
      <c r="BY645">
        <v>11560</v>
      </c>
      <c r="CA645" t="s">
        <v>539</v>
      </c>
      <c r="CC645" t="s">
        <v>535</v>
      </c>
      <c r="CD645">
        <v>7654</v>
      </c>
      <c r="CE645" t="s">
        <v>93</v>
      </c>
      <c r="CF645" s="3">
        <v>46000</v>
      </c>
      <c r="CI645">
        <v>1</v>
      </c>
      <c r="CJ645">
        <v>2</v>
      </c>
      <c r="CK645">
        <v>23</v>
      </c>
      <c r="CL645" t="s">
        <v>87</v>
      </c>
    </row>
    <row r="646" spans="1:90" x14ac:dyDescent="0.3">
      <c r="A646" t="s">
        <v>72</v>
      </c>
      <c r="B646" t="s">
        <v>73</v>
      </c>
      <c r="C646" t="s">
        <v>74</v>
      </c>
      <c r="E646" t="str">
        <f>"080069678860"</f>
        <v>080069678860</v>
      </c>
      <c r="F646" s="3">
        <v>45995</v>
      </c>
      <c r="G646">
        <v>202609</v>
      </c>
      <c r="H646" t="s">
        <v>75</v>
      </c>
      <c r="I646" t="s">
        <v>76</v>
      </c>
      <c r="J646" t="s">
        <v>77</v>
      </c>
      <c r="K646" t="s">
        <v>78</v>
      </c>
      <c r="L646" t="s">
        <v>625</v>
      </c>
      <c r="M646" t="s">
        <v>626</v>
      </c>
      <c r="N646" t="s">
        <v>627</v>
      </c>
      <c r="O646" t="s">
        <v>89</v>
      </c>
      <c r="P646" t="str">
        <f>"4170071898                    "</f>
        <v xml:space="preserve">4170071898                    </v>
      </c>
      <c r="Q646">
        <v>0</v>
      </c>
      <c r="R646">
        <v>0</v>
      </c>
      <c r="S646">
        <v>0</v>
      </c>
      <c r="T646">
        <v>0</v>
      </c>
      <c r="U646">
        <v>0</v>
      </c>
      <c r="V646">
        <v>0</v>
      </c>
      <c r="W646">
        <v>0</v>
      </c>
      <c r="X646">
        <v>0</v>
      </c>
      <c r="Y646">
        <v>0</v>
      </c>
      <c r="Z646">
        <v>0</v>
      </c>
      <c r="AA646">
        <v>0</v>
      </c>
      <c r="AB646">
        <v>0</v>
      </c>
      <c r="AC646">
        <v>0</v>
      </c>
      <c r="AD646">
        <v>0</v>
      </c>
      <c r="AE646">
        <v>0</v>
      </c>
      <c r="AF646">
        <v>0</v>
      </c>
      <c r="AG646">
        <v>0</v>
      </c>
      <c r="AH646">
        <v>0</v>
      </c>
      <c r="AI646">
        <v>0</v>
      </c>
      <c r="AJ646">
        <v>0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0</v>
      </c>
      <c r="AQ646">
        <v>25.52</v>
      </c>
      <c r="AR646">
        <v>0</v>
      </c>
      <c r="AS646">
        <v>0</v>
      </c>
      <c r="AT646">
        <v>0</v>
      </c>
      <c r="AU646">
        <v>0</v>
      </c>
      <c r="AV646">
        <v>0</v>
      </c>
      <c r="AW646">
        <v>0</v>
      </c>
      <c r="AX646">
        <v>0</v>
      </c>
      <c r="AY646">
        <v>0</v>
      </c>
      <c r="AZ646">
        <v>0</v>
      </c>
      <c r="BA646">
        <v>0</v>
      </c>
      <c r="BB646">
        <v>0</v>
      </c>
      <c r="BC646">
        <v>0</v>
      </c>
      <c r="BD646">
        <v>0</v>
      </c>
      <c r="BE646">
        <v>0</v>
      </c>
      <c r="BF646">
        <v>0</v>
      </c>
      <c r="BG646">
        <v>0</v>
      </c>
      <c r="BH646">
        <v>1</v>
      </c>
      <c r="BI646">
        <v>1</v>
      </c>
      <c r="BJ646">
        <v>0.2</v>
      </c>
      <c r="BK646">
        <v>1</v>
      </c>
      <c r="BL646">
        <v>76.06</v>
      </c>
      <c r="BM646">
        <v>11.41</v>
      </c>
      <c r="BN646">
        <v>87.47</v>
      </c>
      <c r="BO646">
        <v>87.47</v>
      </c>
      <c r="BQ646" t="s">
        <v>628</v>
      </c>
      <c r="BR646" t="s">
        <v>82</v>
      </c>
      <c r="BS646" s="3">
        <v>45996</v>
      </c>
      <c r="BT646" s="4">
        <v>0.73263888888888884</v>
      </c>
      <c r="BU646" t="s">
        <v>1383</v>
      </c>
      <c r="BV646" t="s">
        <v>87</v>
      </c>
      <c r="BW646" t="s">
        <v>246</v>
      </c>
      <c r="BX646" t="s">
        <v>106</v>
      </c>
      <c r="BY646">
        <v>1200</v>
      </c>
      <c r="CA646" t="s">
        <v>248</v>
      </c>
      <c r="CC646" t="s">
        <v>626</v>
      </c>
      <c r="CD646">
        <v>4026</v>
      </c>
      <c r="CE646" t="s">
        <v>134</v>
      </c>
      <c r="CF646" s="3">
        <v>45996</v>
      </c>
      <c r="CI646">
        <v>1</v>
      </c>
      <c r="CJ646">
        <v>1</v>
      </c>
      <c r="CK646">
        <v>21</v>
      </c>
      <c r="CL646" t="s">
        <v>87</v>
      </c>
    </row>
    <row r="647" spans="1:90" x14ac:dyDescent="0.3">
      <c r="A647" t="s">
        <v>72</v>
      </c>
      <c r="B647" t="s">
        <v>73</v>
      </c>
      <c r="C647" t="s">
        <v>74</v>
      </c>
      <c r="E647" t="str">
        <f>"080069678862"</f>
        <v>080069678862</v>
      </c>
      <c r="F647" s="3">
        <v>45995</v>
      </c>
      <c r="G647">
        <v>202609</v>
      </c>
      <c r="H647" t="s">
        <v>75</v>
      </c>
      <c r="I647" t="s">
        <v>76</v>
      </c>
      <c r="J647" t="s">
        <v>77</v>
      </c>
      <c r="K647" t="s">
        <v>78</v>
      </c>
      <c r="L647" t="s">
        <v>302</v>
      </c>
      <c r="M647" t="s">
        <v>303</v>
      </c>
      <c r="N647" t="s">
        <v>304</v>
      </c>
      <c r="O647" t="s">
        <v>80</v>
      </c>
      <c r="P647" t="str">
        <f>"4170071835                    "</f>
        <v xml:space="preserve">4170071835                    </v>
      </c>
      <c r="Q647">
        <v>0</v>
      </c>
      <c r="R647">
        <v>0</v>
      </c>
      <c r="S647">
        <v>0</v>
      </c>
      <c r="T647">
        <v>0</v>
      </c>
      <c r="U647">
        <v>0</v>
      </c>
      <c r="V647">
        <v>0</v>
      </c>
      <c r="W647">
        <v>0</v>
      </c>
      <c r="X647">
        <v>0</v>
      </c>
      <c r="Y647">
        <v>0</v>
      </c>
      <c r="Z647">
        <v>0</v>
      </c>
      <c r="AA647">
        <v>0</v>
      </c>
      <c r="AB647">
        <v>0</v>
      </c>
      <c r="AC647">
        <v>0</v>
      </c>
      <c r="AD647">
        <v>0</v>
      </c>
      <c r="AE647">
        <v>0</v>
      </c>
      <c r="AF647">
        <v>0</v>
      </c>
      <c r="AG647">
        <v>0</v>
      </c>
      <c r="AH647">
        <v>0</v>
      </c>
      <c r="AI647">
        <v>0</v>
      </c>
      <c r="AJ647">
        <v>0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75.88</v>
      </c>
      <c r="AR647">
        <v>0</v>
      </c>
      <c r="AS647">
        <v>0</v>
      </c>
      <c r="AT647">
        <v>0</v>
      </c>
      <c r="AU647">
        <v>0</v>
      </c>
      <c r="AV647">
        <v>0</v>
      </c>
      <c r="AW647">
        <v>0</v>
      </c>
      <c r="AX647">
        <v>0</v>
      </c>
      <c r="AY647">
        <v>0</v>
      </c>
      <c r="AZ647">
        <v>0</v>
      </c>
      <c r="BA647">
        <v>0</v>
      </c>
      <c r="BB647">
        <v>0</v>
      </c>
      <c r="BC647">
        <v>0</v>
      </c>
      <c r="BD647">
        <v>0</v>
      </c>
      <c r="BE647">
        <v>0</v>
      </c>
      <c r="BF647">
        <v>0</v>
      </c>
      <c r="BG647">
        <v>0</v>
      </c>
      <c r="BH647">
        <v>1</v>
      </c>
      <c r="BI647">
        <v>27.1</v>
      </c>
      <c r="BJ647">
        <v>19.8</v>
      </c>
      <c r="BK647">
        <v>28</v>
      </c>
      <c r="BL647">
        <v>232.24</v>
      </c>
      <c r="BM647">
        <v>34.840000000000003</v>
      </c>
      <c r="BN647">
        <v>267.08</v>
      </c>
      <c r="BO647">
        <v>267.08</v>
      </c>
      <c r="BQ647" t="s">
        <v>305</v>
      </c>
      <c r="BR647" t="s">
        <v>82</v>
      </c>
      <c r="BS647" s="3">
        <v>45996</v>
      </c>
      <c r="BT647" s="4">
        <v>0.45</v>
      </c>
      <c r="BU647" t="s">
        <v>306</v>
      </c>
      <c r="BV647" t="s">
        <v>84</v>
      </c>
      <c r="BY647">
        <v>98791.08</v>
      </c>
      <c r="CA647">
        <v>8303236124087</v>
      </c>
      <c r="CC647" t="s">
        <v>303</v>
      </c>
      <c r="CD647" s="5" t="s">
        <v>307</v>
      </c>
      <c r="CE647" t="s">
        <v>86</v>
      </c>
      <c r="CF647" s="3">
        <v>45996</v>
      </c>
      <c r="CI647">
        <v>1</v>
      </c>
      <c r="CJ647">
        <v>1</v>
      </c>
      <c r="CK647">
        <v>41</v>
      </c>
      <c r="CL647" t="s">
        <v>87</v>
      </c>
    </row>
    <row r="648" spans="1:90" x14ac:dyDescent="0.3">
      <c r="A648" t="s">
        <v>72</v>
      </c>
      <c r="B648" t="s">
        <v>73</v>
      </c>
      <c r="C648" t="s">
        <v>74</v>
      </c>
      <c r="E648" t="str">
        <f>"080069678896"</f>
        <v>080069678896</v>
      </c>
      <c r="F648" s="3">
        <v>45995</v>
      </c>
      <c r="G648">
        <v>202609</v>
      </c>
      <c r="H648" t="s">
        <v>75</v>
      </c>
      <c r="I648" t="s">
        <v>76</v>
      </c>
      <c r="J648" t="s">
        <v>77</v>
      </c>
      <c r="K648" t="s">
        <v>78</v>
      </c>
      <c r="L648" t="s">
        <v>465</v>
      </c>
      <c r="M648" t="s">
        <v>466</v>
      </c>
      <c r="N648" t="s">
        <v>738</v>
      </c>
      <c r="O648" t="s">
        <v>89</v>
      </c>
      <c r="P648" t="str">
        <f>"4170071965                    "</f>
        <v xml:space="preserve">4170071965                    </v>
      </c>
      <c r="Q648">
        <v>0</v>
      </c>
      <c r="R648">
        <v>0</v>
      </c>
      <c r="S648">
        <v>0</v>
      </c>
      <c r="T648">
        <v>0</v>
      </c>
      <c r="U648">
        <v>0</v>
      </c>
      <c r="V648">
        <v>0</v>
      </c>
      <c r="W648">
        <v>0</v>
      </c>
      <c r="X648">
        <v>0</v>
      </c>
      <c r="Y648">
        <v>0</v>
      </c>
      <c r="Z648">
        <v>0</v>
      </c>
      <c r="AA648">
        <v>0</v>
      </c>
      <c r="AB648">
        <v>0</v>
      </c>
      <c r="AC648">
        <v>0</v>
      </c>
      <c r="AD648">
        <v>0</v>
      </c>
      <c r="AE648">
        <v>0</v>
      </c>
      <c r="AF648">
        <v>0</v>
      </c>
      <c r="AG648">
        <v>0</v>
      </c>
      <c r="AH648">
        <v>0</v>
      </c>
      <c r="AI648">
        <v>0</v>
      </c>
      <c r="AJ648">
        <v>0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19.940000000000001</v>
      </c>
      <c r="AR648">
        <v>0</v>
      </c>
      <c r="AS648">
        <v>0</v>
      </c>
      <c r="AT648">
        <v>0</v>
      </c>
      <c r="AU648">
        <v>0</v>
      </c>
      <c r="AV648">
        <v>0</v>
      </c>
      <c r="AW648">
        <v>0</v>
      </c>
      <c r="AX648">
        <v>0</v>
      </c>
      <c r="AY648">
        <v>0</v>
      </c>
      <c r="AZ648">
        <v>0</v>
      </c>
      <c r="BA648">
        <v>0</v>
      </c>
      <c r="BB648">
        <v>0</v>
      </c>
      <c r="BC648">
        <v>0</v>
      </c>
      <c r="BD648">
        <v>0</v>
      </c>
      <c r="BE648">
        <v>0</v>
      </c>
      <c r="BF648">
        <v>0</v>
      </c>
      <c r="BG648">
        <v>0</v>
      </c>
      <c r="BH648">
        <v>1</v>
      </c>
      <c r="BI648">
        <v>1</v>
      </c>
      <c r="BJ648">
        <v>0.2</v>
      </c>
      <c r="BK648">
        <v>1</v>
      </c>
      <c r="BL648">
        <v>59.42</v>
      </c>
      <c r="BM648">
        <v>8.91</v>
      </c>
      <c r="BN648">
        <v>68.33</v>
      </c>
      <c r="BO648">
        <v>68.33</v>
      </c>
      <c r="BQ648" t="s">
        <v>739</v>
      </c>
      <c r="BR648" t="s">
        <v>82</v>
      </c>
      <c r="BS648" s="3">
        <v>45996</v>
      </c>
      <c r="BT648" s="4">
        <v>0.3611111111111111</v>
      </c>
      <c r="BU648" t="s">
        <v>1013</v>
      </c>
      <c r="BV648" t="s">
        <v>84</v>
      </c>
      <c r="BY648">
        <v>1200</v>
      </c>
      <c r="CA648" t="s">
        <v>727</v>
      </c>
      <c r="CC648" t="s">
        <v>466</v>
      </c>
      <c r="CD648">
        <v>1428</v>
      </c>
      <c r="CE648" t="s">
        <v>134</v>
      </c>
      <c r="CF648" s="3">
        <v>45997</v>
      </c>
      <c r="CI648">
        <v>1</v>
      </c>
      <c r="CJ648">
        <v>1</v>
      </c>
      <c r="CK648">
        <v>22</v>
      </c>
      <c r="CL648" t="s">
        <v>87</v>
      </c>
    </row>
    <row r="649" spans="1:90" x14ac:dyDescent="0.3">
      <c r="A649" t="s">
        <v>72</v>
      </c>
      <c r="B649" t="s">
        <v>73</v>
      </c>
      <c r="C649" t="s">
        <v>74</v>
      </c>
      <c r="E649" t="str">
        <f>"080069678924"</f>
        <v>080069678924</v>
      </c>
      <c r="F649" s="3">
        <v>45995</v>
      </c>
      <c r="G649">
        <v>202609</v>
      </c>
      <c r="H649" t="s">
        <v>75</v>
      </c>
      <c r="I649" t="s">
        <v>76</v>
      </c>
      <c r="J649" t="s">
        <v>77</v>
      </c>
      <c r="K649" t="s">
        <v>78</v>
      </c>
      <c r="L649" t="s">
        <v>156</v>
      </c>
      <c r="M649" t="s">
        <v>157</v>
      </c>
      <c r="N649" t="s">
        <v>1384</v>
      </c>
      <c r="O649" t="s">
        <v>89</v>
      </c>
      <c r="P649" t="str">
        <f>"4170071958                    "</f>
        <v xml:space="preserve">4170071958                    </v>
      </c>
      <c r="Q649">
        <v>0</v>
      </c>
      <c r="R649">
        <v>0</v>
      </c>
      <c r="S649">
        <v>0</v>
      </c>
      <c r="T649">
        <v>0</v>
      </c>
      <c r="U649">
        <v>0</v>
      </c>
      <c r="V649">
        <v>0</v>
      </c>
      <c r="W649">
        <v>0</v>
      </c>
      <c r="X649">
        <v>0</v>
      </c>
      <c r="Y649">
        <v>0</v>
      </c>
      <c r="Z649">
        <v>0</v>
      </c>
      <c r="AA649">
        <v>0</v>
      </c>
      <c r="AB649">
        <v>0</v>
      </c>
      <c r="AC649">
        <v>0</v>
      </c>
      <c r="AD649">
        <v>0</v>
      </c>
      <c r="AE649">
        <v>0</v>
      </c>
      <c r="AF649">
        <v>0</v>
      </c>
      <c r="AG649">
        <v>0</v>
      </c>
      <c r="AH649">
        <v>0</v>
      </c>
      <c r="AI649">
        <v>0</v>
      </c>
      <c r="AJ649">
        <v>0</v>
      </c>
      <c r="AK649">
        <v>0</v>
      </c>
      <c r="AL649">
        <v>0</v>
      </c>
      <c r="AM649">
        <v>0</v>
      </c>
      <c r="AN649">
        <v>0</v>
      </c>
      <c r="AO649">
        <v>0</v>
      </c>
      <c r="AP649">
        <v>0</v>
      </c>
      <c r="AQ649">
        <v>25.52</v>
      </c>
      <c r="AR649">
        <v>0</v>
      </c>
      <c r="AS649">
        <v>0</v>
      </c>
      <c r="AT649">
        <v>0</v>
      </c>
      <c r="AU649">
        <v>0</v>
      </c>
      <c r="AV649">
        <v>0</v>
      </c>
      <c r="AW649">
        <v>0</v>
      </c>
      <c r="AX649">
        <v>0</v>
      </c>
      <c r="AY649">
        <v>0</v>
      </c>
      <c r="AZ649">
        <v>0</v>
      </c>
      <c r="BA649">
        <v>0</v>
      </c>
      <c r="BB649">
        <v>0</v>
      </c>
      <c r="BC649">
        <v>0</v>
      </c>
      <c r="BD649">
        <v>0</v>
      </c>
      <c r="BE649">
        <v>0</v>
      </c>
      <c r="BF649">
        <v>0</v>
      </c>
      <c r="BG649">
        <v>0</v>
      </c>
      <c r="BH649">
        <v>1</v>
      </c>
      <c r="BI649">
        <v>2</v>
      </c>
      <c r="BJ649">
        <v>1.1000000000000001</v>
      </c>
      <c r="BK649">
        <v>2</v>
      </c>
      <c r="BL649">
        <v>76.06</v>
      </c>
      <c r="BM649">
        <v>11.41</v>
      </c>
      <c r="BN649">
        <v>87.47</v>
      </c>
      <c r="BO649">
        <v>87.47</v>
      </c>
      <c r="BQ649" t="s">
        <v>1385</v>
      </c>
      <c r="BR649" t="s">
        <v>82</v>
      </c>
      <c r="BS649" s="3">
        <v>45996</v>
      </c>
      <c r="BT649" s="4">
        <v>0.55277777777777781</v>
      </c>
      <c r="BU649" t="s">
        <v>1386</v>
      </c>
      <c r="BV649" t="s">
        <v>87</v>
      </c>
      <c r="BW649" t="s">
        <v>153</v>
      </c>
      <c r="BX649" t="s">
        <v>1387</v>
      </c>
      <c r="BY649">
        <v>5510</v>
      </c>
      <c r="CA649" t="s">
        <v>1009</v>
      </c>
      <c r="CC649" t="s">
        <v>157</v>
      </c>
      <c r="CD649">
        <v>7460</v>
      </c>
      <c r="CE649" t="s">
        <v>86</v>
      </c>
      <c r="CF649" s="3">
        <v>45999</v>
      </c>
      <c r="CI649">
        <v>1</v>
      </c>
      <c r="CJ649">
        <v>1</v>
      </c>
      <c r="CK649">
        <v>21</v>
      </c>
      <c r="CL649" t="s">
        <v>87</v>
      </c>
    </row>
    <row r="650" spans="1:90" x14ac:dyDescent="0.3">
      <c r="A650" t="s">
        <v>72</v>
      </c>
      <c r="B650" t="s">
        <v>73</v>
      </c>
      <c r="C650" t="s">
        <v>74</v>
      </c>
      <c r="E650" t="str">
        <f>"080069678934"</f>
        <v>080069678934</v>
      </c>
      <c r="F650" s="3">
        <v>45995</v>
      </c>
      <c r="G650">
        <v>202609</v>
      </c>
      <c r="H650" t="s">
        <v>75</v>
      </c>
      <c r="I650" t="s">
        <v>76</v>
      </c>
      <c r="J650" t="s">
        <v>77</v>
      </c>
      <c r="K650" t="s">
        <v>78</v>
      </c>
      <c r="L650" t="s">
        <v>94</v>
      </c>
      <c r="M650" t="s">
        <v>95</v>
      </c>
      <c r="N650" t="s">
        <v>804</v>
      </c>
      <c r="O650" t="s">
        <v>89</v>
      </c>
      <c r="P650" t="str">
        <f>"4170071869                    "</f>
        <v xml:space="preserve">4170071869                    </v>
      </c>
      <c r="Q650">
        <v>0</v>
      </c>
      <c r="R650">
        <v>0</v>
      </c>
      <c r="S650">
        <v>0</v>
      </c>
      <c r="T650">
        <v>0</v>
      </c>
      <c r="U650">
        <v>0</v>
      </c>
      <c r="V650">
        <v>0</v>
      </c>
      <c r="W650">
        <v>0</v>
      </c>
      <c r="X650">
        <v>0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0</v>
      </c>
      <c r="AE650">
        <v>0</v>
      </c>
      <c r="AF650">
        <v>0</v>
      </c>
      <c r="AG650">
        <v>0</v>
      </c>
      <c r="AH650">
        <v>0</v>
      </c>
      <c r="AI650">
        <v>0</v>
      </c>
      <c r="AJ650">
        <v>0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25.52</v>
      </c>
      <c r="AR650">
        <v>0</v>
      </c>
      <c r="AS650">
        <v>0</v>
      </c>
      <c r="AT650">
        <v>0</v>
      </c>
      <c r="AU650">
        <v>0</v>
      </c>
      <c r="AV650">
        <v>0</v>
      </c>
      <c r="AW650">
        <v>0</v>
      </c>
      <c r="AX650">
        <v>0</v>
      </c>
      <c r="AY650">
        <v>0</v>
      </c>
      <c r="AZ650">
        <v>0</v>
      </c>
      <c r="BA650">
        <v>0</v>
      </c>
      <c r="BB650">
        <v>0</v>
      </c>
      <c r="BC650">
        <v>0</v>
      </c>
      <c r="BD650">
        <v>0</v>
      </c>
      <c r="BE650">
        <v>0</v>
      </c>
      <c r="BF650">
        <v>0</v>
      </c>
      <c r="BG650">
        <v>0</v>
      </c>
      <c r="BH650">
        <v>1</v>
      </c>
      <c r="BI650">
        <v>1</v>
      </c>
      <c r="BJ650">
        <v>0.2</v>
      </c>
      <c r="BK650">
        <v>1</v>
      </c>
      <c r="BL650">
        <v>76.06</v>
      </c>
      <c r="BM650">
        <v>11.41</v>
      </c>
      <c r="BN650">
        <v>87.47</v>
      </c>
      <c r="BO650">
        <v>87.47</v>
      </c>
      <c r="BQ650" t="s">
        <v>805</v>
      </c>
      <c r="BR650" t="s">
        <v>82</v>
      </c>
      <c r="BS650" s="3">
        <v>45996</v>
      </c>
      <c r="BT650" s="4">
        <v>0.43125000000000002</v>
      </c>
      <c r="BU650" t="s">
        <v>806</v>
      </c>
      <c r="BV650" t="s">
        <v>84</v>
      </c>
      <c r="BY650">
        <v>1200</v>
      </c>
      <c r="CA650" t="s">
        <v>99</v>
      </c>
      <c r="CC650" t="s">
        <v>95</v>
      </c>
      <c r="CD650">
        <v>3600</v>
      </c>
      <c r="CE650" t="s">
        <v>134</v>
      </c>
      <c r="CF650" s="3">
        <v>45996</v>
      </c>
      <c r="CI650">
        <v>1</v>
      </c>
      <c r="CJ650">
        <v>1</v>
      </c>
      <c r="CK650">
        <v>21</v>
      </c>
      <c r="CL650" t="s">
        <v>87</v>
      </c>
    </row>
    <row r="651" spans="1:90" x14ac:dyDescent="0.3">
      <c r="A651" t="s">
        <v>72</v>
      </c>
      <c r="B651" t="s">
        <v>73</v>
      </c>
      <c r="C651" t="s">
        <v>74</v>
      </c>
      <c r="E651" t="str">
        <f>"080069678990"</f>
        <v>080069678990</v>
      </c>
      <c r="F651" s="3">
        <v>45995</v>
      </c>
      <c r="G651">
        <v>202609</v>
      </c>
      <c r="H651" t="s">
        <v>75</v>
      </c>
      <c r="I651" t="s">
        <v>76</v>
      </c>
      <c r="J651" t="s">
        <v>77</v>
      </c>
      <c r="K651" t="s">
        <v>78</v>
      </c>
      <c r="L651" t="s">
        <v>128</v>
      </c>
      <c r="M651" t="s">
        <v>129</v>
      </c>
      <c r="N651" t="s">
        <v>1289</v>
      </c>
      <c r="O651" t="s">
        <v>89</v>
      </c>
      <c r="P651" t="str">
        <f>"4170071830                    "</f>
        <v xml:space="preserve">4170071830                    </v>
      </c>
      <c r="Q651">
        <v>0</v>
      </c>
      <c r="R651">
        <v>0</v>
      </c>
      <c r="S651">
        <v>0</v>
      </c>
      <c r="T651">
        <v>0</v>
      </c>
      <c r="U651">
        <v>0</v>
      </c>
      <c r="V651">
        <v>0</v>
      </c>
      <c r="W651">
        <v>0</v>
      </c>
      <c r="X651">
        <v>0</v>
      </c>
      <c r="Y651">
        <v>0</v>
      </c>
      <c r="Z651">
        <v>0</v>
      </c>
      <c r="AA651">
        <v>0</v>
      </c>
      <c r="AB651">
        <v>0</v>
      </c>
      <c r="AC651">
        <v>0</v>
      </c>
      <c r="AD651">
        <v>0</v>
      </c>
      <c r="AE651">
        <v>0</v>
      </c>
      <c r="AF651">
        <v>0</v>
      </c>
      <c r="AG651">
        <v>0</v>
      </c>
      <c r="AH651">
        <v>0</v>
      </c>
      <c r="AI651">
        <v>0</v>
      </c>
      <c r="AJ651">
        <v>0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127.57</v>
      </c>
      <c r="AR651">
        <v>0</v>
      </c>
      <c r="AS651">
        <v>0</v>
      </c>
      <c r="AT651">
        <v>0</v>
      </c>
      <c r="AU651">
        <v>0</v>
      </c>
      <c r="AV651">
        <v>0</v>
      </c>
      <c r="AW651">
        <v>0</v>
      </c>
      <c r="AX651">
        <v>0</v>
      </c>
      <c r="AY651">
        <v>0</v>
      </c>
      <c r="AZ651">
        <v>0</v>
      </c>
      <c r="BA651">
        <v>0</v>
      </c>
      <c r="BB651">
        <v>0</v>
      </c>
      <c r="BC651">
        <v>0</v>
      </c>
      <c r="BD651">
        <v>0</v>
      </c>
      <c r="BE651">
        <v>0</v>
      </c>
      <c r="BF651">
        <v>0</v>
      </c>
      <c r="BG651">
        <v>0</v>
      </c>
      <c r="BH651">
        <v>1</v>
      </c>
      <c r="BI651">
        <v>10</v>
      </c>
      <c r="BJ651">
        <v>3.9</v>
      </c>
      <c r="BK651">
        <v>10</v>
      </c>
      <c r="BL651">
        <v>380.19</v>
      </c>
      <c r="BM651">
        <v>57.03</v>
      </c>
      <c r="BN651">
        <v>437.22</v>
      </c>
      <c r="BO651">
        <v>437.22</v>
      </c>
      <c r="BQ651" t="s">
        <v>1290</v>
      </c>
      <c r="BR651" t="s">
        <v>82</v>
      </c>
      <c r="BS651" s="3">
        <v>45996</v>
      </c>
      <c r="BT651" s="4">
        <v>0.44374999999999998</v>
      </c>
      <c r="BU651" t="s">
        <v>1291</v>
      </c>
      <c r="BV651" t="s">
        <v>84</v>
      </c>
      <c r="BY651">
        <v>19440</v>
      </c>
      <c r="CA651" t="s">
        <v>133</v>
      </c>
      <c r="CC651" t="s">
        <v>129</v>
      </c>
      <c r="CD651">
        <v>5201</v>
      </c>
      <c r="CE651" t="s">
        <v>86</v>
      </c>
      <c r="CF651" s="3">
        <v>45999</v>
      </c>
      <c r="CI651">
        <v>1</v>
      </c>
      <c r="CJ651">
        <v>1</v>
      </c>
      <c r="CK651">
        <v>21</v>
      </c>
      <c r="CL651" t="s">
        <v>87</v>
      </c>
    </row>
    <row r="652" spans="1:90" x14ac:dyDescent="0.3">
      <c r="A652" t="s">
        <v>72</v>
      </c>
      <c r="B652" t="s">
        <v>73</v>
      </c>
      <c r="C652" t="s">
        <v>74</v>
      </c>
      <c r="E652" t="str">
        <f>"080069678992"</f>
        <v>080069678992</v>
      </c>
      <c r="F652" s="3">
        <v>45995</v>
      </c>
      <c r="G652">
        <v>202609</v>
      </c>
      <c r="H652" t="s">
        <v>75</v>
      </c>
      <c r="I652" t="s">
        <v>76</v>
      </c>
      <c r="J652" t="s">
        <v>77</v>
      </c>
      <c r="K652" t="s">
        <v>78</v>
      </c>
      <c r="L652" t="s">
        <v>1388</v>
      </c>
      <c r="M652" t="s">
        <v>1389</v>
      </c>
      <c r="N652" t="s">
        <v>1390</v>
      </c>
      <c r="O652" t="s">
        <v>89</v>
      </c>
      <c r="P652" t="str">
        <f>"4170071911                    "</f>
        <v xml:space="preserve">4170071911                    </v>
      </c>
      <c r="Q652">
        <v>0</v>
      </c>
      <c r="R652">
        <v>0</v>
      </c>
      <c r="S652">
        <v>0</v>
      </c>
      <c r="T652">
        <v>0</v>
      </c>
      <c r="U652">
        <v>0</v>
      </c>
      <c r="V652">
        <v>0</v>
      </c>
      <c r="W652">
        <v>0</v>
      </c>
      <c r="X652">
        <v>0</v>
      </c>
      <c r="Y652">
        <v>0</v>
      </c>
      <c r="Z652">
        <v>0</v>
      </c>
      <c r="AA652">
        <v>0</v>
      </c>
      <c r="AB652">
        <v>0</v>
      </c>
      <c r="AC652">
        <v>0</v>
      </c>
      <c r="AD652">
        <v>0</v>
      </c>
      <c r="AE652">
        <v>0</v>
      </c>
      <c r="AF652">
        <v>0</v>
      </c>
      <c r="AG652">
        <v>0</v>
      </c>
      <c r="AH652">
        <v>0</v>
      </c>
      <c r="AI652">
        <v>0</v>
      </c>
      <c r="AJ652">
        <v>0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19.940000000000001</v>
      </c>
      <c r="AR652">
        <v>0</v>
      </c>
      <c r="AS652">
        <v>0</v>
      </c>
      <c r="AT652">
        <v>0</v>
      </c>
      <c r="AU652">
        <v>0</v>
      </c>
      <c r="AV652">
        <v>0</v>
      </c>
      <c r="AW652">
        <v>0</v>
      </c>
      <c r="AX652">
        <v>0</v>
      </c>
      <c r="AY652">
        <v>0</v>
      </c>
      <c r="AZ652">
        <v>0</v>
      </c>
      <c r="BA652">
        <v>0</v>
      </c>
      <c r="BB652">
        <v>0</v>
      </c>
      <c r="BC652">
        <v>0</v>
      </c>
      <c r="BD652">
        <v>0</v>
      </c>
      <c r="BE652">
        <v>0</v>
      </c>
      <c r="BF652">
        <v>0</v>
      </c>
      <c r="BG652">
        <v>0</v>
      </c>
      <c r="BH652">
        <v>1</v>
      </c>
      <c r="BI652">
        <v>1</v>
      </c>
      <c r="BJ652">
        <v>0.2</v>
      </c>
      <c r="BK652">
        <v>1</v>
      </c>
      <c r="BL652">
        <v>59.42</v>
      </c>
      <c r="BM652">
        <v>8.91</v>
      </c>
      <c r="BN652">
        <v>68.33</v>
      </c>
      <c r="BO652">
        <v>68.33</v>
      </c>
      <c r="BQ652" t="s">
        <v>1391</v>
      </c>
      <c r="BR652" t="s">
        <v>82</v>
      </c>
      <c r="BS652" s="3">
        <v>45996</v>
      </c>
      <c r="BT652" s="4">
        <v>0.55902777777777779</v>
      </c>
      <c r="BU652" t="s">
        <v>1392</v>
      </c>
      <c r="BV652" t="s">
        <v>87</v>
      </c>
      <c r="BW652" t="s">
        <v>186</v>
      </c>
      <c r="BX652" t="s">
        <v>955</v>
      </c>
      <c r="BY652">
        <v>1200</v>
      </c>
      <c r="CA652" t="s">
        <v>1393</v>
      </c>
      <c r="CC652" t="s">
        <v>1389</v>
      </c>
      <c r="CD652">
        <v>2163</v>
      </c>
      <c r="CE652" t="s">
        <v>134</v>
      </c>
      <c r="CF652" s="3">
        <v>45997</v>
      </c>
      <c r="CI652">
        <v>1</v>
      </c>
      <c r="CJ652">
        <v>1</v>
      </c>
      <c r="CK652">
        <v>22</v>
      </c>
      <c r="CL652" t="s">
        <v>87</v>
      </c>
    </row>
    <row r="653" spans="1:90" x14ac:dyDescent="0.3">
      <c r="A653" t="s">
        <v>72</v>
      </c>
      <c r="B653" t="s">
        <v>73</v>
      </c>
      <c r="C653" t="s">
        <v>74</v>
      </c>
      <c r="E653" t="str">
        <f>"080069679040"</f>
        <v>080069679040</v>
      </c>
      <c r="F653" s="3">
        <v>45995</v>
      </c>
      <c r="G653">
        <v>202609</v>
      </c>
      <c r="H653" t="s">
        <v>75</v>
      </c>
      <c r="I653" t="s">
        <v>76</v>
      </c>
      <c r="J653" t="s">
        <v>77</v>
      </c>
      <c r="K653" t="s">
        <v>78</v>
      </c>
      <c r="L653" t="s">
        <v>176</v>
      </c>
      <c r="M653" t="s">
        <v>177</v>
      </c>
      <c r="N653" t="s">
        <v>178</v>
      </c>
      <c r="O653" t="s">
        <v>340</v>
      </c>
      <c r="P653" t="str">
        <f>"4170071963                    "</f>
        <v xml:space="preserve">4170071963                    </v>
      </c>
      <c r="Q653">
        <v>0</v>
      </c>
      <c r="R653">
        <v>0</v>
      </c>
      <c r="S653">
        <v>0</v>
      </c>
      <c r="T653">
        <v>0</v>
      </c>
      <c r="U653">
        <v>0</v>
      </c>
      <c r="V653">
        <v>0</v>
      </c>
      <c r="W653">
        <v>0</v>
      </c>
      <c r="X653">
        <v>0</v>
      </c>
      <c r="Y653">
        <v>0</v>
      </c>
      <c r="Z653">
        <v>0</v>
      </c>
      <c r="AA653">
        <v>0</v>
      </c>
      <c r="AB653">
        <v>0</v>
      </c>
      <c r="AC653">
        <v>0</v>
      </c>
      <c r="AD653">
        <v>0</v>
      </c>
      <c r="AE653">
        <v>0</v>
      </c>
      <c r="AF653">
        <v>0</v>
      </c>
      <c r="AG653">
        <v>0</v>
      </c>
      <c r="AH653">
        <v>0</v>
      </c>
      <c r="AI653">
        <v>0</v>
      </c>
      <c r="AJ653">
        <v>0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0</v>
      </c>
      <c r="AQ653">
        <v>19.940000000000001</v>
      </c>
      <c r="AR653">
        <v>0</v>
      </c>
      <c r="AS653">
        <v>0</v>
      </c>
      <c r="AT653">
        <v>0</v>
      </c>
      <c r="AU653">
        <v>0</v>
      </c>
      <c r="AV653">
        <v>0</v>
      </c>
      <c r="AW653">
        <v>0</v>
      </c>
      <c r="AX653">
        <v>0</v>
      </c>
      <c r="AY653">
        <v>0</v>
      </c>
      <c r="AZ653">
        <v>0</v>
      </c>
      <c r="BA653">
        <v>0</v>
      </c>
      <c r="BB653">
        <v>0</v>
      </c>
      <c r="BC653">
        <v>0</v>
      </c>
      <c r="BD653">
        <v>0</v>
      </c>
      <c r="BE653">
        <v>0</v>
      </c>
      <c r="BF653">
        <v>0</v>
      </c>
      <c r="BG653">
        <v>0</v>
      </c>
      <c r="BH653">
        <v>1</v>
      </c>
      <c r="BI653">
        <v>3.6</v>
      </c>
      <c r="BJ653">
        <v>6.9</v>
      </c>
      <c r="BK653">
        <v>7</v>
      </c>
      <c r="BL653">
        <v>59.43</v>
      </c>
      <c r="BM653">
        <v>8.91</v>
      </c>
      <c r="BN653">
        <v>68.34</v>
      </c>
      <c r="BO653">
        <v>68.34</v>
      </c>
      <c r="BQ653" t="s">
        <v>179</v>
      </c>
      <c r="BR653" t="s">
        <v>82</v>
      </c>
      <c r="BS653" s="3">
        <v>45996</v>
      </c>
      <c r="BT653" s="4">
        <v>0.38194444444444442</v>
      </c>
      <c r="BU653" t="s">
        <v>180</v>
      </c>
      <c r="BV653" t="s">
        <v>84</v>
      </c>
      <c r="BY653">
        <v>34610.400000000001</v>
      </c>
      <c r="CA653" t="s">
        <v>182</v>
      </c>
      <c r="CC653" t="s">
        <v>177</v>
      </c>
      <c r="CD653">
        <v>2094</v>
      </c>
      <c r="CE653" t="s">
        <v>93</v>
      </c>
      <c r="CF653" s="3">
        <v>45996</v>
      </c>
      <c r="CI653">
        <v>1</v>
      </c>
      <c r="CJ653">
        <v>1</v>
      </c>
      <c r="CK653">
        <v>32</v>
      </c>
      <c r="CL653" t="s">
        <v>87</v>
      </c>
    </row>
    <row r="654" spans="1:90" x14ac:dyDescent="0.3">
      <c r="A654" t="s">
        <v>72</v>
      </c>
      <c r="B654" t="s">
        <v>73</v>
      </c>
      <c r="C654" t="s">
        <v>74</v>
      </c>
      <c r="E654" t="str">
        <f>"080069679036"</f>
        <v>080069679036</v>
      </c>
      <c r="F654" s="3">
        <v>45995</v>
      </c>
      <c r="G654">
        <v>202609</v>
      </c>
      <c r="H654" t="s">
        <v>75</v>
      </c>
      <c r="I654" t="s">
        <v>76</v>
      </c>
      <c r="J654" t="s">
        <v>77</v>
      </c>
      <c r="K654" t="s">
        <v>78</v>
      </c>
      <c r="L654" t="s">
        <v>528</v>
      </c>
      <c r="M654" t="s">
        <v>529</v>
      </c>
      <c r="N654" t="s">
        <v>1131</v>
      </c>
      <c r="O654" t="s">
        <v>89</v>
      </c>
      <c r="P654" t="str">
        <f>"4170071967                    "</f>
        <v xml:space="preserve">4170071967                    </v>
      </c>
      <c r="Q654">
        <v>0</v>
      </c>
      <c r="R654">
        <v>0</v>
      </c>
      <c r="S654">
        <v>0</v>
      </c>
      <c r="T654">
        <v>0</v>
      </c>
      <c r="U654">
        <v>0</v>
      </c>
      <c r="V654">
        <v>0</v>
      </c>
      <c r="W654">
        <v>0</v>
      </c>
      <c r="X654">
        <v>0</v>
      </c>
      <c r="Y654">
        <v>0</v>
      </c>
      <c r="Z654">
        <v>0</v>
      </c>
      <c r="AA654">
        <v>0</v>
      </c>
      <c r="AB654">
        <v>0</v>
      </c>
      <c r="AC654">
        <v>0</v>
      </c>
      <c r="AD654">
        <v>0</v>
      </c>
      <c r="AE654">
        <v>0</v>
      </c>
      <c r="AF654">
        <v>0</v>
      </c>
      <c r="AG654">
        <v>0</v>
      </c>
      <c r="AH654">
        <v>0</v>
      </c>
      <c r="AI654">
        <v>0</v>
      </c>
      <c r="AJ654">
        <v>0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49.45</v>
      </c>
      <c r="AR654">
        <v>0</v>
      </c>
      <c r="AS654">
        <v>0</v>
      </c>
      <c r="AT654">
        <v>0</v>
      </c>
      <c r="AU654">
        <v>0</v>
      </c>
      <c r="AV654">
        <v>0</v>
      </c>
      <c r="AW654">
        <v>17.41</v>
      </c>
      <c r="AX654">
        <v>0</v>
      </c>
      <c r="AY654">
        <v>0</v>
      </c>
      <c r="AZ654">
        <v>0</v>
      </c>
      <c r="BA654">
        <v>0</v>
      </c>
      <c r="BB654">
        <v>0</v>
      </c>
      <c r="BC654">
        <v>0</v>
      </c>
      <c r="BD654">
        <v>0</v>
      </c>
      <c r="BE654">
        <v>0</v>
      </c>
      <c r="BF654">
        <v>0</v>
      </c>
      <c r="BG654">
        <v>0</v>
      </c>
      <c r="BH654">
        <v>1</v>
      </c>
      <c r="BI654">
        <v>1</v>
      </c>
      <c r="BJ654">
        <v>0.2</v>
      </c>
      <c r="BK654">
        <v>1</v>
      </c>
      <c r="BL654">
        <v>164.79</v>
      </c>
      <c r="BM654">
        <v>24.72</v>
      </c>
      <c r="BN654">
        <v>189.51</v>
      </c>
      <c r="BO654">
        <v>189.51</v>
      </c>
      <c r="BQ654" t="s">
        <v>1132</v>
      </c>
      <c r="BR654" t="s">
        <v>82</v>
      </c>
      <c r="BS654" s="3">
        <v>45996</v>
      </c>
      <c r="BT654" s="4">
        <v>0.52083333333333337</v>
      </c>
      <c r="BU654" t="s">
        <v>1281</v>
      </c>
      <c r="BV654" t="s">
        <v>84</v>
      </c>
      <c r="BY654">
        <v>1200</v>
      </c>
      <c r="BZ654" t="s">
        <v>30</v>
      </c>
      <c r="CA654" t="s">
        <v>1394</v>
      </c>
      <c r="CC654" t="s">
        <v>529</v>
      </c>
      <c r="CD654" s="5" t="s">
        <v>1134</v>
      </c>
      <c r="CE654" t="s">
        <v>134</v>
      </c>
      <c r="CF654" s="3">
        <v>45999</v>
      </c>
      <c r="CI654">
        <v>1</v>
      </c>
      <c r="CJ654">
        <v>1</v>
      </c>
      <c r="CK654">
        <v>23</v>
      </c>
      <c r="CL654" t="s">
        <v>87</v>
      </c>
    </row>
    <row r="655" spans="1:90" x14ac:dyDescent="0.3">
      <c r="A655" t="s">
        <v>72</v>
      </c>
      <c r="B655" t="s">
        <v>73</v>
      </c>
      <c r="C655" t="s">
        <v>74</v>
      </c>
      <c r="E655" t="str">
        <f>"080069679100"</f>
        <v>080069679100</v>
      </c>
      <c r="F655" s="3">
        <v>45995</v>
      </c>
      <c r="G655">
        <v>202609</v>
      </c>
      <c r="H655" t="s">
        <v>75</v>
      </c>
      <c r="I655" t="s">
        <v>76</v>
      </c>
      <c r="J655" t="s">
        <v>77</v>
      </c>
      <c r="K655" t="s">
        <v>78</v>
      </c>
      <c r="L655" t="s">
        <v>202</v>
      </c>
      <c r="M655" t="s">
        <v>203</v>
      </c>
      <c r="N655" t="s">
        <v>204</v>
      </c>
      <c r="O655" t="s">
        <v>89</v>
      </c>
      <c r="P655" t="str">
        <f>"4170071810                    "</f>
        <v xml:space="preserve">4170071810                    </v>
      </c>
      <c r="Q655">
        <v>0</v>
      </c>
      <c r="R655">
        <v>0</v>
      </c>
      <c r="S655">
        <v>0</v>
      </c>
      <c r="T655">
        <v>0</v>
      </c>
      <c r="U655">
        <v>0</v>
      </c>
      <c r="V655">
        <v>0</v>
      </c>
      <c r="W655">
        <v>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0</v>
      </c>
      <c r="AD655">
        <v>0</v>
      </c>
      <c r="AE655">
        <v>0</v>
      </c>
      <c r="AF655">
        <v>0</v>
      </c>
      <c r="AG655">
        <v>0</v>
      </c>
      <c r="AH655">
        <v>0</v>
      </c>
      <c r="AI655">
        <v>0</v>
      </c>
      <c r="AJ655">
        <v>0</v>
      </c>
      <c r="AK655">
        <v>0</v>
      </c>
      <c r="AL655">
        <v>0</v>
      </c>
      <c r="AM655">
        <v>0</v>
      </c>
      <c r="AN655">
        <v>0</v>
      </c>
      <c r="AO655">
        <v>0</v>
      </c>
      <c r="AP655">
        <v>0</v>
      </c>
      <c r="AQ655">
        <v>116.45</v>
      </c>
      <c r="AR655">
        <v>0</v>
      </c>
      <c r="AS655">
        <v>0</v>
      </c>
      <c r="AT655">
        <v>0</v>
      </c>
      <c r="AU655">
        <v>0</v>
      </c>
      <c r="AV655">
        <v>0</v>
      </c>
      <c r="AW655">
        <v>0</v>
      </c>
      <c r="AX655">
        <v>0</v>
      </c>
      <c r="AY655">
        <v>0</v>
      </c>
      <c r="AZ655">
        <v>0</v>
      </c>
      <c r="BA655">
        <v>0</v>
      </c>
      <c r="BB655">
        <v>0</v>
      </c>
      <c r="BC655">
        <v>0</v>
      </c>
      <c r="BD655">
        <v>0</v>
      </c>
      <c r="BE655">
        <v>0</v>
      </c>
      <c r="BF655">
        <v>0</v>
      </c>
      <c r="BG655">
        <v>0</v>
      </c>
      <c r="BH655">
        <v>1</v>
      </c>
      <c r="BI655">
        <v>2.2000000000000002</v>
      </c>
      <c r="BJ655">
        <v>4.5999999999999996</v>
      </c>
      <c r="BK655">
        <v>5</v>
      </c>
      <c r="BL655">
        <v>347.04</v>
      </c>
      <c r="BM655">
        <v>52.06</v>
      </c>
      <c r="BN655">
        <v>399.1</v>
      </c>
      <c r="BO655">
        <v>399.1</v>
      </c>
      <c r="BQ655" t="s">
        <v>205</v>
      </c>
      <c r="BR655" t="s">
        <v>82</v>
      </c>
      <c r="BS655" s="3">
        <v>45996</v>
      </c>
      <c r="BT655" s="4">
        <v>0.40555555555555556</v>
      </c>
      <c r="BU655" t="s">
        <v>1218</v>
      </c>
      <c r="BV655" t="s">
        <v>84</v>
      </c>
      <c r="BY655">
        <v>22797.599999999999</v>
      </c>
      <c r="CA655">
        <v>7908245451080</v>
      </c>
      <c r="CC655" t="s">
        <v>203</v>
      </c>
      <c r="CD655">
        <v>2531</v>
      </c>
      <c r="CE655" t="s">
        <v>86</v>
      </c>
      <c r="CF655" s="3">
        <v>45999</v>
      </c>
      <c r="CI655">
        <v>1</v>
      </c>
      <c r="CJ655">
        <v>1</v>
      </c>
      <c r="CK655">
        <v>23</v>
      </c>
      <c r="CL655" t="s">
        <v>87</v>
      </c>
    </row>
    <row r="656" spans="1:90" x14ac:dyDescent="0.3">
      <c r="A656" t="s">
        <v>72</v>
      </c>
      <c r="B656" t="s">
        <v>73</v>
      </c>
      <c r="C656" t="s">
        <v>74</v>
      </c>
      <c r="E656" t="str">
        <f>"080069679099"</f>
        <v>080069679099</v>
      </c>
      <c r="F656" s="3">
        <v>45995</v>
      </c>
      <c r="G656">
        <v>202609</v>
      </c>
      <c r="H656" t="s">
        <v>75</v>
      </c>
      <c r="I656" t="s">
        <v>76</v>
      </c>
      <c r="J656" t="s">
        <v>77</v>
      </c>
      <c r="K656" t="s">
        <v>78</v>
      </c>
      <c r="L656" t="s">
        <v>109</v>
      </c>
      <c r="M656" t="s">
        <v>110</v>
      </c>
      <c r="N656" t="s">
        <v>1395</v>
      </c>
      <c r="O656" t="s">
        <v>89</v>
      </c>
      <c r="P656" t="str">
        <f>"4170071959                    "</f>
        <v xml:space="preserve">4170071959                    </v>
      </c>
      <c r="Q656">
        <v>0</v>
      </c>
      <c r="R656">
        <v>0</v>
      </c>
      <c r="S656">
        <v>0</v>
      </c>
      <c r="T656">
        <v>0</v>
      </c>
      <c r="U656">
        <v>0</v>
      </c>
      <c r="V656">
        <v>0</v>
      </c>
      <c r="W656">
        <v>0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0</v>
      </c>
      <c r="AD656">
        <v>0</v>
      </c>
      <c r="AE656">
        <v>0</v>
      </c>
      <c r="AF656">
        <v>0</v>
      </c>
      <c r="AG656">
        <v>0</v>
      </c>
      <c r="AH656">
        <v>0</v>
      </c>
      <c r="AI656">
        <v>0</v>
      </c>
      <c r="AJ656">
        <v>0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0</v>
      </c>
      <c r="AQ656">
        <v>35.9</v>
      </c>
      <c r="AR656">
        <v>0</v>
      </c>
      <c r="AS656">
        <v>0</v>
      </c>
      <c r="AT656">
        <v>0</v>
      </c>
      <c r="AU656">
        <v>0</v>
      </c>
      <c r="AV656">
        <v>0</v>
      </c>
      <c r="AW656">
        <v>17.41</v>
      </c>
      <c r="AX656">
        <v>0</v>
      </c>
      <c r="AY656">
        <v>0</v>
      </c>
      <c r="AZ656">
        <v>0</v>
      </c>
      <c r="BA656">
        <v>0</v>
      </c>
      <c r="BB656">
        <v>0</v>
      </c>
      <c r="BC656">
        <v>0</v>
      </c>
      <c r="BD656">
        <v>0</v>
      </c>
      <c r="BE656">
        <v>0</v>
      </c>
      <c r="BF656">
        <v>0</v>
      </c>
      <c r="BG656">
        <v>0</v>
      </c>
      <c r="BH656">
        <v>1</v>
      </c>
      <c r="BI656">
        <v>1</v>
      </c>
      <c r="BJ656">
        <v>0.2</v>
      </c>
      <c r="BK656">
        <v>1</v>
      </c>
      <c r="BL656">
        <v>124.39</v>
      </c>
      <c r="BM656">
        <v>18.66</v>
      </c>
      <c r="BN656">
        <v>143.05000000000001</v>
      </c>
      <c r="BO656">
        <v>143.05000000000001</v>
      </c>
      <c r="BQ656" t="s">
        <v>1396</v>
      </c>
      <c r="BR656" t="s">
        <v>82</v>
      </c>
      <c r="BS656" s="3">
        <v>45996</v>
      </c>
      <c r="BT656" s="4">
        <v>0.60138888888888886</v>
      </c>
      <c r="BU656" t="s">
        <v>1397</v>
      </c>
      <c r="BV656" t="s">
        <v>87</v>
      </c>
      <c r="BY656">
        <v>1200</v>
      </c>
      <c r="BZ656" t="s">
        <v>30</v>
      </c>
      <c r="CC656" t="s">
        <v>110</v>
      </c>
      <c r="CD656">
        <v>1723</v>
      </c>
      <c r="CE656" t="s">
        <v>134</v>
      </c>
      <c r="CF656" s="3">
        <v>45999</v>
      </c>
      <c r="CI656">
        <v>1</v>
      </c>
      <c r="CJ656">
        <v>1</v>
      </c>
      <c r="CK656">
        <v>24</v>
      </c>
      <c r="CL656" t="s">
        <v>87</v>
      </c>
    </row>
    <row r="657" spans="1:90" x14ac:dyDescent="0.3">
      <c r="A657" t="s">
        <v>72</v>
      </c>
      <c r="B657" t="s">
        <v>73</v>
      </c>
      <c r="C657" t="s">
        <v>74</v>
      </c>
      <c r="E657" t="str">
        <f>"080069679149"</f>
        <v>080069679149</v>
      </c>
      <c r="F657" s="3">
        <v>45995</v>
      </c>
      <c r="G657">
        <v>202609</v>
      </c>
      <c r="H657" t="s">
        <v>75</v>
      </c>
      <c r="I657" t="s">
        <v>76</v>
      </c>
      <c r="J657" t="s">
        <v>77</v>
      </c>
      <c r="K657" t="s">
        <v>78</v>
      </c>
      <c r="L657" t="s">
        <v>302</v>
      </c>
      <c r="M657" t="s">
        <v>303</v>
      </c>
      <c r="N657" t="s">
        <v>1398</v>
      </c>
      <c r="O657" t="s">
        <v>89</v>
      </c>
      <c r="P657" t="str">
        <f>"4170071928                    "</f>
        <v xml:space="preserve">4170071928                    </v>
      </c>
      <c r="Q657">
        <v>0</v>
      </c>
      <c r="R657">
        <v>0</v>
      </c>
      <c r="S657">
        <v>0</v>
      </c>
      <c r="T657">
        <v>0</v>
      </c>
      <c r="U657">
        <v>0</v>
      </c>
      <c r="V657">
        <v>0</v>
      </c>
      <c r="W657">
        <v>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0</v>
      </c>
      <c r="AJ657">
        <v>0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25.52</v>
      </c>
      <c r="AR657">
        <v>0</v>
      </c>
      <c r="AS657">
        <v>0</v>
      </c>
      <c r="AT657">
        <v>0</v>
      </c>
      <c r="AU657">
        <v>0</v>
      </c>
      <c r="AV657">
        <v>0</v>
      </c>
      <c r="AW657">
        <v>0</v>
      </c>
      <c r="AX657">
        <v>0</v>
      </c>
      <c r="AY657">
        <v>0</v>
      </c>
      <c r="AZ657">
        <v>0</v>
      </c>
      <c r="BA657">
        <v>0</v>
      </c>
      <c r="BB657">
        <v>0</v>
      </c>
      <c r="BC657">
        <v>0</v>
      </c>
      <c r="BD657">
        <v>0</v>
      </c>
      <c r="BE657">
        <v>0</v>
      </c>
      <c r="BF657">
        <v>0</v>
      </c>
      <c r="BG657">
        <v>0</v>
      </c>
      <c r="BH657">
        <v>1</v>
      </c>
      <c r="BI657">
        <v>1</v>
      </c>
      <c r="BJ657">
        <v>0.2</v>
      </c>
      <c r="BK657">
        <v>1</v>
      </c>
      <c r="BL657">
        <v>76.06</v>
      </c>
      <c r="BM657">
        <v>11.41</v>
      </c>
      <c r="BN657">
        <v>87.47</v>
      </c>
      <c r="BO657">
        <v>87.47</v>
      </c>
      <c r="BQ657" t="s">
        <v>1399</v>
      </c>
      <c r="BR657" t="s">
        <v>82</v>
      </c>
      <c r="BS657" s="3">
        <v>45996</v>
      </c>
      <c r="BT657" s="4">
        <v>0.42986111111111114</v>
      </c>
      <c r="BU657" t="s">
        <v>306</v>
      </c>
      <c r="BV657" t="s">
        <v>84</v>
      </c>
      <c r="BY657">
        <v>1200</v>
      </c>
      <c r="CA657" s="5" t="s">
        <v>1400</v>
      </c>
      <c r="CC657" t="s">
        <v>303</v>
      </c>
      <c r="CD657" s="5" t="s">
        <v>1401</v>
      </c>
      <c r="CE657" t="s">
        <v>134</v>
      </c>
      <c r="CF657" s="3">
        <v>45996</v>
      </c>
      <c r="CI657">
        <v>1</v>
      </c>
      <c r="CJ657">
        <v>1</v>
      </c>
      <c r="CK657">
        <v>21</v>
      </c>
      <c r="CL657" t="s">
        <v>87</v>
      </c>
    </row>
    <row r="658" spans="1:90" x14ac:dyDescent="0.3">
      <c r="A658" t="s">
        <v>72</v>
      </c>
      <c r="B658" t="s">
        <v>73</v>
      </c>
      <c r="C658" t="s">
        <v>74</v>
      </c>
      <c r="E658" t="str">
        <f>"080069679159"</f>
        <v>080069679159</v>
      </c>
      <c r="F658" s="3">
        <v>45995</v>
      </c>
      <c r="G658">
        <v>202609</v>
      </c>
      <c r="H658" t="s">
        <v>75</v>
      </c>
      <c r="I658" t="s">
        <v>76</v>
      </c>
      <c r="J658" t="s">
        <v>77</v>
      </c>
      <c r="K658" t="s">
        <v>78</v>
      </c>
      <c r="L658" t="s">
        <v>100</v>
      </c>
      <c r="M658" t="s">
        <v>101</v>
      </c>
      <c r="N658" t="s">
        <v>1367</v>
      </c>
      <c r="O658" t="s">
        <v>89</v>
      </c>
      <c r="P658" t="str">
        <f>"4170071953                    "</f>
        <v xml:space="preserve">4170071953                    </v>
      </c>
      <c r="Q658">
        <v>0</v>
      </c>
      <c r="R658">
        <v>0</v>
      </c>
      <c r="S658">
        <v>0</v>
      </c>
      <c r="T658">
        <v>0</v>
      </c>
      <c r="U658">
        <v>0</v>
      </c>
      <c r="V658">
        <v>0</v>
      </c>
      <c r="W658">
        <v>0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0</v>
      </c>
      <c r="AD658">
        <v>0</v>
      </c>
      <c r="AE658">
        <v>0</v>
      </c>
      <c r="AF658">
        <v>0</v>
      </c>
      <c r="AG658">
        <v>0</v>
      </c>
      <c r="AH658">
        <v>0</v>
      </c>
      <c r="AI658">
        <v>0</v>
      </c>
      <c r="AJ658">
        <v>0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25.52</v>
      </c>
      <c r="AR658">
        <v>0</v>
      </c>
      <c r="AS658">
        <v>0</v>
      </c>
      <c r="AT658">
        <v>0</v>
      </c>
      <c r="AU658">
        <v>0</v>
      </c>
      <c r="AV658">
        <v>0</v>
      </c>
      <c r="AW658">
        <v>0</v>
      </c>
      <c r="AX658">
        <v>0</v>
      </c>
      <c r="AY658">
        <v>0</v>
      </c>
      <c r="AZ658">
        <v>0</v>
      </c>
      <c r="BA658">
        <v>0</v>
      </c>
      <c r="BB658">
        <v>0</v>
      </c>
      <c r="BC658">
        <v>0</v>
      </c>
      <c r="BD658">
        <v>0</v>
      </c>
      <c r="BE658">
        <v>0</v>
      </c>
      <c r="BF658">
        <v>0</v>
      </c>
      <c r="BG658">
        <v>0</v>
      </c>
      <c r="BH658">
        <v>1</v>
      </c>
      <c r="BI658">
        <v>1</v>
      </c>
      <c r="BJ658">
        <v>0.2</v>
      </c>
      <c r="BK658">
        <v>1</v>
      </c>
      <c r="BL658">
        <v>76.06</v>
      </c>
      <c r="BM658">
        <v>11.41</v>
      </c>
      <c r="BN658">
        <v>87.47</v>
      </c>
      <c r="BO658">
        <v>87.47</v>
      </c>
      <c r="BQ658" t="s">
        <v>1368</v>
      </c>
      <c r="BR658" t="s">
        <v>82</v>
      </c>
      <c r="BS658" s="3">
        <v>45996</v>
      </c>
      <c r="BT658" s="4">
        <v>0.40833333333333333</v>
      </c>
      <c r="BU658" t="s">
        <v>322</v>
      </c>
      <c r="BV658" t="s">
        <v>84</v>
      </c>
      <c r="BY658">
        <v>1200</v>
      </c>
      <c r="CA658" t="s">
        <v>323</v>
      </c>
      <c r="CC658" t="s">
        <v>101</v>
      </c>
      <c r="CD658">
        <v>4001</v>
      </c>
      <c r="CE658" t="s">
        <v>134</v>
      </c>
      <c r="CF658" s="3">
        <v>45997</v>
      </c>
      <c r="CI658">
        <v>1</v>
      </c>
      <c r="CJ658">
        <v>1</v>
      </c>
      <c r="CK658">
        <v>21</v>
      </c>
      <c r="CL658" t="s">
        <v>87</v>
      </c>
    </row>
    <row r="659" spans="1:90" x14ac:dyDescent="0.3">
      <c r="A659" t="s">
        <v>72</v>
      </c>
      <c r="B659" t="s">
        <v>73</v>
      </c>
      <c r="C659" t="s">
        <v>74</v>
      </c>
      <c r="E659" t="str">
        <f>"080069679192"</f>
        <v>080069679192</v>
      </c>
      <c r="F659" s="3">
        <v>45995</v>
      </c>
      <c r="G659">
        <v>202609</v>
      </c>
      <c r="H659" t="s">
        <v>75</v>
      </c>
      <c r="I659" t="s">
        <v>76</v>
      </c>
      <c r="J659" t="s">
        <v>77</v>
      </c>
      <c r="K659" t="s">
        <v>78</v>
      </c>
      <c r="L659" t="s">
        <v>120</v>
      </c>
      <c r="M659" t="s">
        <v>121</v>
      </c>
      <c r="N659" t="s">
        <v>163</v>
      </c>
      <c r="O659" t="s">
        <v>89</v>
      </c>
      <c r="P659" t="str">
        <f>"4170071865                    "</f>
        <v xml:space="preserve">4170071865                    </v>
      </c>
      <c r="Q659">
        <v>0</v>
      </c>
      <c r="R659">
        <v>0</v>
      </c>
      <c r="S659">
        <v>0</v>
      </c>
      <c r="T659">
        <v>0</v>
      </c>
      <c r="U659">
        <v>0</v>
      </c>
      <c r="V659">
        <v>0</v>
      </c>
      <c r="W659">
        <v>0</v>
      </c>
      <c r="X659">
        <v>0</v>
      </c>
      <c r="Y659">
        <v>0</v>
      </c>
      <c r="Z659">
        <v>0</v>
      </c>
      <c r="AA659">
        <v>0</v>
      </c>
      <c r="AB659">
        <v>0</v>
      </c>
      <c r="AC659">
        <v>0</v>
      </c>
      <c r="AD659">
        <v>0</v>
      </c>
      <c r="AE659">
        <v>0</v>
      </c>
      <c r="AF659">
        <v>0</v>
      </c>
      <c r="AG659">
        <v>0</v>
      </c>
      <c r="AH659">
        <v>0</v>
      </c>
      <c r="AI659">
        <v>0</v>
      </c>
      <c r="AJ659">
        <v>0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25.52</v>
      </c>
      <c r="AR659">
        <v>0</v>
      </c>
      <c r="AS659">
        <v>0</v>
      </c>
      <c r="AT659">
        <v>0</v>
      </c>
      <c r="AU659">
        <v>0</v>
      </c>
      <c r="AV659">
        <v>0</v>
      </c>
      <c r="AW659">
        <v>0</v>
      </c>
      <c r="AX659">
        <v>0</v>
      </c>
      <c r="AY659">
        <v>0</v>
      </c>
      <c r="AZ659">
        <v>0</v>
      </c>
      <c r="BA659">
        <v>0</v>
      </c>
      <c r="BB659">
        <v>0</v>
      </c>
      <c r="BC659">
        <v>0</v>
      </c>
      <c r="BD659">
        <v>0</v>
      </c>
      <c r="BE659">
        <v>0</v>
      </c>
      <c r="BF659">
        <v>0</v>
      </c>
      <c r="BG659">
        <v>0</v>
      </c>
      <c r="BH659">
        <v>1</v>
      </c>
      <c r="BI659">
        <v>1</v>
      </c>
      <c r="BJ659">
        <v>0.2</v>
      </c>
      <c r="BK659">
        <v>1</v>
      </c>
      <c r="BL659">
        <v>76.06</v>
      </c>
      <c r="BM659">
        <v>11.41</v>
      </c>
      <c r="BN659">
        <v>87.47</v>
      </c>
      <c r="BO659">
        <v>87.47</v>
      </c>
      <c r="BQ659" t="s">
        <v>164</v>
      </c>
      <c r="BR659" t="s">
        <v>82</v>
      </c>
      <c r="BS659" s="3">
        <v>45996</v>
      </c>
      <c r="BT659" s="4">
        <v>0.40069444444444446</v>
      </c>
      <c r="BU659" t="s">
        <v>165</v>
      </c>
      <c r="BV659" t="s">
        <v>84</v>
      </c>
      <c r="BY659">
        <v>1200</v>
      </c>
      <c r="CA659" t="s">
        <v>126</v>
      </c>
      <c r="CC659" t="s">
        <v>121</v>
      </c>
      <c r="CD659">
        <v>6230</v>
      </c>
      <c r="CE659" t="s">
        <v>134</v>
      </c>
      <c r="CF659" s="3">
        <v>45996</v>
      </c>
      <c r="CI659">
        <v>1</v>
      </c>
      <c r="CJ659">
        <v>1</v>
      </c>
      <c r="CK659">
        <v>21</v>
      </c>
      <c r="CL659" t="s">
        <v>87</v>
      </c>
    </row>
    <row r="660" spans="1:90" x14ac:dyDescent="0.3">
      <c r="A660" t="s">
        <v>72</v>
      </c>
      <c r="B660" t="s">
        <v>73</v>
      </c>
      <c r="C660" t="s">
        <v>74</v>
      </c>
      <c r="E660" t="str">
        <f>"080069679191"</f>
        <v>080069679191</v>
      </c>
      <c r="F660" s="3">
        <v>45995</v>
      </c>
      <c r="G660">
        <v>202609</v>
      </c>
      <c r="H660" t="s">
        <v>75</v>
      </c>
      <c r="I660" t="s">
        <v>76</v>
      </c>
      <c r="J660" t="s">
        <v>77</v>
      </c>
      <c r="K660" t="s">
        <v>78</v>
      </c>
      <c r="L660" t="s">
        <v>265</v>
      </c>
      <c r="M660" t="s">
        <v>266</v>
      </c>
      <c r="N660" t="s">
        <v>874</v>
      </c>
      <c r="O660" t="s">
        <v>89</v>
      </c>
      <c r="P660" t="str">
        <f>"4170071832                    "</f>
        <v xml:space="preserve">4170071832                    </v>
      </c>
      <c r="Q660">
        <v>0</v>
      </c>
      <c r="R660">
        <v>0</v>
      </c>
      <c r="S660">
        <v>0</v>
      </c>
      <c r="T660">
        <v>0</v>
      </c>
      <c r="U660">
        <v>0</v>
      </c>
      <c r="V660">
        <v>0</v>
      </c>
      <c r="W660">
        <v>0</v>
      </c>
      <c r="X660">
        <v>0</v>
      </c>
      <c r="Y660">
        <v>0</v>
      </c>
      <c r="Z660">
        <v>0</v>
      </c>
      <c r="AA660">
        <v>0</v>
      </c>
      <c r="AB660">
        <v>0</v>
      </c>
      <c r="AC660">
        <v>0</v>
      </c>
      <c r="AD660">
        <v>0</v>
      </c>
      <c r="AE660">
        <v>0</v>
      </c>
      <c r="AF660">
        <v>0</v>
      </c>
      <c r="AG660">
        <v>0</v>
      </c>
      <c r="AH660">
        <v>0</v>
      </c>
      <c r="AI660">
        <v>0</v>
      </c>
      <c r="AJ660">
        <v>0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19.940000000000001</v>
      </c>
      <c r="AR660">
        <v>0</v>
      </c>
      <c r="AS660">
        <v>0</v>
      </c>
      <c r="AT660">
        <v>0</v>
      </c>
      <c r="AU660">
        <v>0</v>
      </c>
      <c r="AV660">
        <v>0</v>
      </c>
      <c r="AW660">
        <v>0</v>
      </c>
      <c r="AX660">
        <v>0</v>
      </c>
      <c r="AY660">
        <v>0</v>
      </c>
      <c r="AZ660">
        <v>0</v>
      </c>
      <c r="BA660">
        <v>0</v>
      </c>
      <c r="BB660">
        <v>0</v>
      </c>
      <c r="BC660">
        <v>0</v>
      </c>
      <c r="BD660">
        <v>0</v>
      </c>
      <c r="BE660">
        <v>0</v>
      </c>
      <c r="BF660">
        <v>0</v>
      </c>
      <c r="BG660">
        <v>0</v>
      </c>
      <c r="BH660">
        <v>1</v>
      </c>
      <c r="BI660">
        <v>1</v>
      </c>
      <c r="BJ660">
        <v>0.2</v>
      </c>
      <c r="BK660">
        <v>1</v>
      </c>
      <c r="BL660">
        <v>59.42</v>
      </c>
      <c r="BM660">
        <v>8.91</v>
      </c>
      <c r="BN660">
        <v>68.33</v>
      </c>
      <c r="BO660">
        <v>68.33</v>
      </c>
      <c r="BQ660" t="s">
        <v>875</v>
      </c>
      <c r="BR660" t="s">
        <v>82</v>
      </c>
      <c r="BS660" s="3">
        <v>45996</v>
      </c>
      <c r="BT660" s="4">
        <v>0.36805555555555558</v>
      </c>
      <c r="BU660" t="s">
        <v>1262</v>
      </c>
      <c r="BV660" t="s">
        <v>84</v>
      </c>
      <c r="BY660">
        <v>1200</v>
      </c>
      <c r="CA660" t="s">
        <v>417</v>
      </c>
      <c r="CC660" t="s">
        <v>266</v>
      </c>
      <c r="CD660">
        <v>1459</v>
      </c>
      <c r="CE660" t="s">
        <v>134</v>
      </c>
      <c r="CF660" s="3">
        <v>45996</v>
      </c>
      <c r="CI660">
        <v>1</v>
      </c>
      <c r="CJ660">
        <v>1</v>
      </c>
      <c r="CK660">
        <v>22</v>
      </c>
      <c r="CL660" t="s">
        <v>87</v>
      </c>
    </row>
    <row r="661" spans="1:90" x14ac:dyDescent="0.3">
      <c r="A661" t="s">
        <v>72</v>
      </c>
      <c r="B661" t="s">
        <v>73</v>
      </c>
      <c r="C661" t="s">
        <v>74</v>
      </c>
      <c r="E661" t="str">
        <f>"080069679231"</f>
        <v>080069679231</v>
      </c>
      <c r="F661" s="3">
        <v>45995</v>
      </c>
      <c r="G661">
        <v>202609</v>
      </c>
      <c r="H661" t="s">
        <v>75</v>
      </c>
      <c r="I661" t="s">
        <v>76</v>
      </c>
      <c r="J661" t="s">
        <v>77</v>
      </c>
      <c r="K661" t="s">
        <v>78</v>
      </c>
      <c r="L661" t="s">
        <v>302</v>
      </c>
      <c r="M661" t="s">
        <v>303</v>
      </c>
      <c r="N661" t="s">
        <v>769</v>
      </c>
      <c r="O661" t="s">
        <v>89</v>
      </c>
      <c r="P661" t="str">
        <f>"4170071884                    "</f>
        <v xml:space="preserve">4170071884                    </v>
      </c>
      <c r="Q661">
        <v>0</v>
      </c>
      <c r="R661">
        <v>0</v>
      </c>
      <c r="S661">
        <v>0</v>
      </c>
      <c r="T661">
        <v>0</v>
      </c>
      <c r="U661">
        <v>0</v>
      </c>
      <c r="V661">
        <v>0</v>
      </c>
      <c r="W661">
        <v>0</v>
      </c>
      <c r="X661">
        <v>0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0</v>
      </c>
      <c r="AE661">
        <v>0</v>
      </c>
      <c r="AF661">
        <v>0</v>
      </c>
      <c r="AG661">
        <v>0</v>
      </c>
      <c r="AH661">
        <v>0</v>
      </c>
      <c r="AI661">
        <v>0</v>
      </c>
      <c r="AJ661">
        <v>0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25.52</v>
      </c>
      <c r="AR661">
        <v>0</v>
      </c>
      <c r="AS661">
        <v>0</v>
      </c>
      <c r="AT661">
        <v>0</v>
      </c>
      <c r="AU661">
        <v>0</v>
      </c>
      <c r="AV661">
        <v>0</v>
      </c>
      <c r="AW661">
        <v>0</v>
      </c>
      <c r="AX661">
        <v>0</v>
      </c>
      <c r="AY661">
        <v>0</v>
      </c>
      <c r="AZ661">
        <v>0</v>
      </c>
      <c r="BA661">
        <v>0</v>
      </c>
      <c r="BB661">
        <v>0</v>
      </c>
      <c r="BC661">
        <v>0</v>
      </c>
      <c r="BD661">
        <v>0</v>
      </c>
      <c r="BE661">
        <v>0</v>
      </c>
      <c r="BF661">
        <v>0</v>
      </c>
      <c r="BG661">
        <v>0</v>
      </c>
      <c r="BH661">
        <v>1</v>
      </c>
      <c r="BI661">
        <v>1</v>
      </c>
      <c r="BJ661">
        <v>0.2</v>
      </c>
      <c r="BK661">
        <v>1</v>
      </c>
      <c r="BL661">
        <v>76.06</v>
      </c>
      <c r="BM661">
        <v>11.41</v>
      </c>
      <c r="BN661">
        <v>87.47</v>
      </c>
      <c r="BO661">
        <v>87.47</v>
      </c>
      <c r="BQ661" t="s">
        <v>770</v>
      </c>
      <c r="BR661" t="s">
        <v>82</v>
      </c>
      <c r="BS661" s="3">
        <v>45996</v>
      </c>
      <c r="BT661" s="4">
        <v>0.42152777777777778</v>
      </c>
      <c r="BU661" t="s">
        <v>1402</v>
      </c>
      <c r="BV661" t="s">
        <v>84</v>
      </c>
      <c r="BY661">
        <v>1200</v>
      </c>
      <c r="CA661">
        <v>9103185460089</v>
      </c>
      <c r="CC661" t="s">
        <v>303</v>
      </c>
      <c r="CD661" s="5" t="s">
        <v>350</v>
      </c>
      <c r="CE661" t="s">
        <v>134</v>
      </c>
      <c r="CF661" s="3">
        <v>45996</v>
      </c>
      <c r="CI661">
        <v>1</v>
      </c>
      <c r="CJ661">
        <v>1</v>
      </c>
      <c r="CK661">
        <v>21</v>
      </c>
      <c r="CL661" t="s">
        <v>87</v>
      </c>
    </row>
    <row r="662" spans="1:90" x14ac:dyDescent="0.3">
      <c r="A662" t="s">
        <v>72</v>
      </c>
      <c r="B662" t="s">
        <v>73</v>
      </c>
      <c r="C662" t="s">
        <v>74</v>
      </c>
      <c r="E662" t="str">
        <f>"080069679632"</f>
        <v>080069679632</v>
      </c>
      <c r="F662" s="3">
        <v>45995</v>
      </c>
      <c r="G662">
        <v>202609</v>
      </c>
      <c r="H662" t="s">
        <v>75</v>
      </c>
      <c r="I662" t="s">
        <v>76</v>
      </c>
      <c r="J662" t="s">
        <v>77</v>
      </c>
      <c r="K662" t="s">
        <v>78</v>
      </c>
      <c r="L662" t="s">
        <v>218</v>
      </c>
      <c r="M662" t="s">
        <v>219</v>
      </c>
      <c r="N662" t="s">
        <v>220</v>
      </c>
      <c r="O662" t="s">
        <v>89</v>
      </c>
      <c r="P662" t="str">
        <f>"4170071941                    "</f>
        <v xml:space="preserve">4170071941                    </v>
      </c>
      <c r="Q662">
        <v>0</v>
      </c>
      <c r="R662">
        <v>0</v>
      </c>
      <c r="S662">
        <v>0</v>
      </c>
      <c r="T662">
        <v>0</v>
      </c>
      <c r="U662">
        <v>0</v>
      </c>
      <c r="V662">
        <v>0</v>
      </c>
      <c r="W662">
        <v>0</v>
      </c>
      <c r="X662">
        <v>0</v>
      </c>
      <c r="Y662">
        <v>0</v>
      </c>
      <c r="Z662">
        <v>0</v>
      </c>
      <c r="AA662">
        <v>0</v>
      </c>
      <c r="AB662">
        <v>0</v>
      </c>
      <c r="AC662">
        <v>0</v>
      </c>
      <c r="AD662">
        <v>0</v>
      </c>
      <c r="AE662">
        <v>0</v>
      </c>
      <c r="AF662">
        <v>0</v>
      </c>
      <c r="AG662">
        <v>0</v>
      </c>
      <c r="AH662">
        <v>0</v>
      </c>
      <c r="AI662">
        <v>0</v>
      </c>
      <c r="AJ662">
        <v>0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49.45</v>
      </c>
      <c r="AR662">
        <v>0</v>
      </c>
      <c r="AS662">
        <v>0</v>
      </c>
      <c r="AT662">
        <v>0</v>
      </c>
      <c r="AU662">
        <v>0</v>
      </c>
      <c r="AV662">
        <v>0</v>
      </c>
      <c r="AW662">
        <v>0</v>
      </c>
      <c r="AX662">
        <v>0</v>
      </c>
      <c r="AY662">
        <v>0</v>
      </c>
      <c r="AZ662">
        <v>0</v>
      </c>
      <c r="BA662">
        <v>0</v>
      </c>
      <c r="BB662">
        <v>0</v>
      </c>
      <c r="BC662">
        <v>0</v>
      </c>
      <c r="BD662">
        <v>0</v>
      </c>
      <c r="BE662">
        <v>0</v>
      </c>
      <c r="BF662">
        <v>0</v>
      </c>
      <c r="BG662">
        <v>0</v>
      </c>
      <c r="BH662">
        <v>1</v>
      </c>
      <c r="BI662">
        <v>1</v>
      </c>
      <c r="BJ662">
        <v>0.2</v>
      </c>
      <c r="BK662">
        <v>1</v>
      </c>
      <c r="BL662">
        <v>147.38</v>
      </c>
      <c r="BM662">
        <v>22.11</v>
      </c>
      <c r="BN662">
        <v>169.49</v>
      </c>
      <c r="BO662">
        <v>169.49</v>
      </c>
      <c r="BQ662" t="s">
        <v>221</v>
      </c>
      <c r="BR662" t="s">
        <v>82</v>
      </c>
      <c r="BS662" s="3">
        <v>45996</v>
      </c>
      <c r="BT662" s="4">
        <v>0.31597222222222221</v>
      </c>
      <c r="BU662" t="s">
        <v>1294</v>
      </c>
      <c r="BV662" t="s">
        <v>84</v>
      </c>
      <c r="BY662">
        <v>1200</v>
      </c>
      <c r="CC662" t="s">
        <v>219</v>
      </c>
      <c r="CD662">
        <v>2740</v>
      </c>
      <c r="CE662" t="s">
        <v>134</v>
      </c>
      <c r="CF662" s="3">
        <v>45999</v>
      </c>
      <c r="CI662">
        <v>1</v>
      </c>
      <c r="CJ662">
        <v>1</v>
      </c>
      <c r="CK662">
        <v>23</v>
      </c>
      <c r="CL662" t="s">
        <v>87</v>
      </c>
    </row>
    <row r="663" spans="1:90" x14ac:dyDescent="0.3">
      <c r="A663" t="s">
        <v>72</v>
      </c>
      <c r="B663" t="s">
        <v>73</v>
      </c>
      <c r="C663" t="s">
        <v>74</v>
      </c>
      <c r="E663" t="str">
        <f>"080069679644"</f>
        <v>080069679644</v>
      </c>
      <c r="F663" s="3">
        <v>45995</v>
      </c>
      <c r="G663">
        <v>202609</v>
      </c>
      <c r="H663" t="s">
        <v>75</v>
      </c>
      <c r="I663" t="s">
        <v>76</v>
      </c>
      <c r="J663" t="s">
        <v>77</v>
      </c>
      <c r="K663" t="s">
        <v>78</v>
      </c>
      <c r="L663" t="s">
        <v>302</v>
      </c>
      <c r="M663" t="s">
        <v>303</v>
      </c>
      <c r="N663" t="s">
        <v>1403</v>
      </c>
      <c r="O663" t="s">
        <v>80</v>
      </c>
      <c r="P663" t="str">
        <f>"4170071935                    "</f>
        <v xml:space="preserve">4170071935                    </v>
      </c>
      <c r="Q663">
        <v>0</v>
      </c>
      <c r="R663">
        <v>0</v>
      </c>
      <c r="S663">
        <v>0</v>
      </c>
      <c r="T663">
        <v>0</v>
      </c>
      <c r="U663">
        <v>0</v>
      </c>
      <c r="V663">
        <v>0</v>
      </c>
      <c r="W663">
        <v>0</v>
      </c>
      <c r="X663">
        <v>0</v>
      </c>
      <c r="Y663">
        <v>0</v>
      </c>
      <c r="Z663">
        <v>0</v>
      </c>
      <c r="AA663">
        <v>0</v>
      </c>
      <c r="AB663">
        <v>0</v>
      </c>
      <c r="AC663">
        <v>0</v>
      </c>
      <c r="AD663">
        <v>0</v>
      </c>
      <c r="AE663">
        <v>0</v>
      </c>
      <c r="AF663">
        <v>0</v>
      </c>
      <c r="AG663">
        <v>0</v>
      </c>
      <c r="AH663">
        <v>0</v>
      </c>
      <c r="AI663">
        <v>0</v>
      </c>
      <c r="AJ663">
        <v>0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49.36</v>
      </c>
      <c r="AR663">
        <v>0</v>
      </c>
      <c r="AS663">
        <v>0</v>
      </c>
      <c r="AT663">
        <v>0</v>
      </c>
      <c r="AU663">
        <v>0</v>
      </c>
      <c r="AV663">
        <v>0</v>
      </c>
      <c r="AW663">
        <v>0</v>
      </c>
      <c r="AX663">
        <v>0</v>
      </c>
      <c r="AY663">
        <v>0</v>
      </c>
      <c r="AZ663">
        <v>0</v>
      </c>
      <c r="BA663">
        <v>0</v>
      </c>
      <c r="BB663">
        <v>0</v>
      </c>
      <c r="BC663">
        <v>0</v>
      </c>
      <c r="BD663">
        <v>0</v>
      </c>
      <c r="BE663">
        <v>0</v>
      </c>
      <c r="BF663">
        <v>0</v>
      </c>
      <c r="BG663">
        <v>0</v>
      </c>
      <c r="BH663">
        <v>1</v>
      </c>
      <c r="BI663">
        <v>5</v>
      </c>
      <c r="BJ663">
        <v>6.7</v>
      </c>
      <c r="BK663">
        <v>7</v>
      </c>
      <c r="BL663">
        <v>153.19999999999999</v>
      </c>
      <c r="BM663">
        <v>22.98</v>
      </c>
      <c r="BN663">
        <v>176.18</v>
      </c>
      <c r="BO663">
        <v>176.18</v>
      </c>
      <c r="BQ663" t="s">
        <v>1404</v>
      </c>
      <c r="BR663" t="s">
        <v>82</v>
      </c>
      <c r="BS663" s="3">
        <v>45996</v>
      </c>
      <c r="BT663" s="4">
        <v>0.3125</v>
      </c>
      <c r="BU663" t="s">
        <v>1298</v>
      </c>
      <c r="BV663" t="s">
        <v>84</v>
      </c>
      <c r="BY663">
        <v>33696</v>
      </c>
      <c r="CA663">
        <v>8602010437080</v>
      </c>
      <c r="CC663" t="s">
        <v>303</v>
      </c>
      <c r="CD663" s="5" t="s">
        <v>597</v>
      </c>
      <c r="CE663" t="s">
        <v>229</v>
      </c>
      <c r="CF663" s="3">
        <v>45996</v>
      </c>
      <c r="CI663">
        <v>1</v>
      </c>
      <c r="CJ663">
        <v>1</v>
      </c>
      <c r="CK663">
        <v>41</v>
      </c>
      <c r="CL663" t="s">
        <v>87</v>
      </c>
    </row>
    <row r="664" spans="1:90" x14ac:dyDescent="0.3">
      <c r="A664" t="s">
        <v>72</v>
      </c>
      <c r="B664" t="s">
        <v>73</v>
      </c>
      <c r="C664" t="s">
        <v>74</v>
      </c>
      <c r="E664" t="str">
        <f>"080069679680"</f>
        <v>080069679680</v>
      </c>
      <c r="F664" s="3">
        <v>45995</v>
      </c>
      <c r="G664">
        <v>202609</v>
      </c>
      <c r="H664" t="s">
        <v>75</v>
      </c>
      <c r="I664" t="s">
        <v>76</v>
      </c>
      <c r="J664" t="s">
        <v>77</v>
      </c>
      <c r="K664" t="s">
        <v>78</v>
      </c>
      <c r="L664" t="s">
        <v>176</v>
      </c>
      <c r="M664" t="s">
        <v>177</v>
      </c>
      <c r="N664" t="s">
        <v>906</v>
      </c>
      <c r="O664" t="s">
        <v>89</v>
      </c>
      <c r="P664" t="str">
        <f>"4170071929                    "</f>
        <v xml:space="preserve">4170071929                    </v>
      </c>
      <c r="Q664">
        <v>0</v>
      </c>
      <c r="R664">
        <v>0</v>
      </c>
      <c r="S664">
        <v>0</v>
      </c>
      <c r="T664">
        <v>0</v>
      </c>
      <c r="U664">
        <v>0</v>
      </c>
      <c r="V664">
        <v>0</v>
      </c>
      <c r="W664">
        <v>0</v>
      </c>
      <c r="X664">
        <v>0</v>
      </c>
      <c r="Y664">
        <v>0</v>
      </c>
      <c r="Z664">
        <v>0</v>
      </c>
      <c r="AA664">
        <v>0</v>
      </c>
      <c r="AB664">
        <v>0</v>
      </c>
      <c r="AC664">
        <v>0</v>
      </c>
      <c r="AD664">
        <v>0</v>
      </c>
      <c r="AE664">
        <v>0</v>
      </c>
      <c r="AF664">
        <v>0</v>
      </c>
      <c r="AG664">
        <v>0</v>
      </c>
      <c r="AH664">
        <v>0</v>
      </c>
      <c r="AI664">
        <v>0</v>
      </c>
      <c r="AJ664">
        <v>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19.940000000000001</v>
      </c>
      <c r="AR664">
        <v>0</v>
      </c>
      <c r="AS664">
        <v>0</v>
      </c>
      <c r="AT664">
        <v>0</v>
      </c>
      <c r="AU664">
        <v>0</v>
      </c>
      <c r="AV664">
        <v>0</v>
      </c>
      <c r="AW664">
        <v>0</v>
      </c>
      <c r="AX664">
        <v>0</v>
      </c>
      <c r="AY664">
        <v>0</v>
      </c>
      <c r="AZ664">
        <v>0</v>
      </c>
      <c r="BA664">
        <v>0</v>
      </c>
      <c r="BB664">
        <v>0</v>
      </c>
      <c r="BC664">
        <v>0</v>
      </c>
      <c r="BD664">
        <v>0</v>
      </c>
      <c r="BE664">
        <v>0</v>
      </c>
      <c r="BF664">
        <v>0</v>
      </c>
      <c r="BG664">
        <v>0</v>
      </c>
      <c r="BH664">
        <v>1</v>
      </c>
      <c r="BI664">
        <v>1</v>
      </c>
      <c r="BJ664">
        <v>0.2</v>
      </c>
      <c r="BK664">
        <v>1</v>
      </c>
      <c r="BL664">
        <v>59.42</v>
      </c>
      <c r="BM664">
        <v>8.91</v>
      </c>
      <c r="BN664">
        <v>68.33</v>
      </c>
      <c r="BO664">
        <v>68.33</v>
      </c>
      <c r="BQ664" t="s">
        <v>907</v>
      </c>
      <c r="BR664" t="s">
        <v>82</v>
      </c>
      <c r="BS664" s="3">
        <v>45996</v>
      </c>
      <c r="BT664" s="4">
        <v>0.58333333333333337</v>
      </c>
      <c r="BU664" t="s">
        <v>1405</v>
      </c>
      <c r="BV664" t="s">
        <v>87</v>
      </c>
      <c r="BY664">
        <v>1200</v>
      </c>
      <c r="CC664" t="s">
        <v>177</v>
      </c>
      <c r="CD664">
        <v>2092</v>
      </c>
      <c r="CE664" t="s">
        <v>134</v>
      </c>
      <c r="CF664" s="3">
        <v>45997</v>
      </c>
      <c r="CI664">
        <v>1</v>
      </c>
      <c r="CJ664">
        <v>1</v>
      </c>
      <c r="CK664">
        <v>22</v>
      </c>
      <c r="CL664" t="s">
        <v>87</v>
      </c>
    </row>
    <row r="665" spans="1:90" x14ac:dyDescent="0.3">
      <c r="A665" t="s">
        <v>72</v>
      </c>
      <c r="B665" t="s">
        <v>73</v>
      </c>
      <c r="C665" t="s">
        <v>74</v>
      </c>
      <c r="E665" t="str">
        <f>"080069679684"</f>
        <v>080069679684</v>
      </c>
      <c r="F665" s="3">
        <v>45995</v>
      </c>
      <c r="G665">
        <v>202609</v>
      </c>
      <c r="H665" t="s">
        <v>75</v>
      </c>
      <c r="I665" t="s">
        <v>76</v>
      </c>
      <c r="J665" t="s">
        <v>77</v>
      </c>
      <c r="K665" t="s">
        <v>78</v>
      </c>
      <c r="L665" t="s">
        <v>141</v>
      </c>
      <c r="M665" t="s">
        <v>142</v>
      </c>
      <c r="N665" t="s">
        <v>728</v>
      </c>
      <c r="O665" t="s">
        <v>89</v>
      </c>
      <c r="P665" t="str">
        <f>"4170071947                    "</f>
        <v xml:space="preserve">4170071947                    </v>
      </c>
      <c r="Q665">
        <v>0</v>
      </c>
      <c r="R665">
        <v>0</v>
      </c>
      <c r="S665">
        <v>0</v>
      </c>
      <c r="T665">
        <v>0</v>
      </c>
      <c r="U665">
        <v>0</v>
      </c>
      <c r="V665">
        <v>0</v>
      </c>
      <c r="W665">
        <v>0</v>
      </c>
      <c r="X665">
        <v>0</v>
      </c>
      <c r="Y665">
        <v>0</v>
      </c>
      <c r="Z665">
        <v>0</v>
      </c>
      <c r="AA665">
        <v>0</v>
      </c>
      <c r="AB665">
        <v>0</v>
      </c>
      <c r="AC665">
        <v>0</v>
      </c>
      <c r="AD665">
        <v>0</v>
      </c>
      <c r="AE665">
        <v>0</v>
      </c>
      <c r="AF665">
        <v>0</v>
      </c>
      <c r="AG665">
        <v>0</v>
      </c>
      <c r="AH665">
        <v>0</v>
      </c>
      <c r="AI665">
        <v>0</v>
      </c>
      <c r="AJ665">
        <v>0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44.66</v>
      </c>
      <c r="AR665">
        <v>0</v>
      </c>
      <c r="AS665">
        <v>0</v>
      </c>
      <c r="AT665">
        <v>0</v>
      </c>
      <c r="AU665">
        <v>0</v>
      </c>
      <c r="AV665">
        <v>0</v>
      </c>
      <c r="AW665">
        <v>0</v>
      </c>
      <c r="AX665">
        <v>0</v>
      </c>
      <c r="AY665">
        <v>0</v>
      </c>
      <c r="AZ665">
        <v>0</v>
      </c>
      <c r="BA665">
        <v>0</v>
      </c>
      <c r="BB665">
        <v>0</v>
      </c>
      <c r="BC665">
        <v>0</v>
      </c>
      <c r="BD665">
        <v>0</v>
      </c>
      <c r="BE665">
        <v>0</v>
      </c>
      <c r="BF665">
        <v>0</v>
      </c>
      <c r="BG665">
        <v>0</v>
      </c>
      <c r="BH665">
        <v>1</v>
      </c>
      <c r="BI665">
        <v>2</v>
      </c>
      <c r="BJ665">
        <v>3.2</v>
      </c>
      <c r="BK665">
        <v>3.5</v>
      </c>
      <c r="BL665">
        <v>133.09</v>
      </c>
      <c r="BM665">
        <v>19.96</v>
      </c>
      <c r="BN665">
        <v>153.05000000000001</v>
      </c>
      <c r="BO665">
        <v>153.05000000000001</v>
      </c>
      <c r="BQ665" t="s">
        <v>1406</v>
      </c>
      <c r="BR665" t="s">
        <v>82</v>
      </c>
      <c r="BS665" s="3">
        <v>45996</v>
      </c>
      <c r="BT665" s="4">
        <v>0.42430555555555555</v>
      </c>
      <c r="BU665" t="s">
        <v>1407</v>
      </c>
      <c r="BV665" t="s">
        <v>84</v>
      </c>
      <c r="BY665">
        <v>16184</v>
      </c>
      <c r="CA665" t="s">
        <v>489</v>
      </c>
      <c r="CC665" t="s">
        <v>142</v>
      </c>
      <c r="CD665">
        <v>6012</v>
      </c>
      <c r="CE665" t="s">
        <v>229</v>
      </c>
      <c r="CF665" s="3">
        <v>45996</v>
      </c>
      <c r="CI665">
        <v>1</v>
      </c>
      <c r="CJ665">
        <v>1</v>
      </c>
      <c r="CK665">
        <v>21</v>
      </c>
      <c r="CL665" t="s">
        <v>87</v>
      </c>
    </row>
    <row r="666" spans="1:90" x14ac:dyDescent="0.3">
      <c r="A666" t="s">
        <v>72</v>
      </c>
      <c r="B666" t="s">
        <v>73</v>
      </c>
      <c r="C666" t="s">
        <v>74</v>
      </c>
      <c r="E666" t="str">
        <f>"080069679741"</f>
        <v>080069679741</v>
      </c>
      <c r="F666" s="3">
        <v>45995</v>
      </c>
      <c r="G666">
        <v>202609</v>
      </c>
      <c r="H666" t="s">
        <v>75</v>
      </c>
      <c r="I666" t="s">
        <v>76</v>
      </c>
      <c r="J666" t="s">
        <v>77</v>
      </c>
      <c r="K666" t="s">
        <v>78</v>
      </c>
      <c r="L666" t="s">
        <v>141</v>
      </c>
      <c r="M666" t="s">
        <v>142</v>
      </c>
      <c r="N666" t="s">
        <v>1126</v>
      </c>
      <c r="O666" t="s">
        <v>89</v>
      </c>
      <c r="P666" t="str">
        <f>"4170071946                    "</f>
        <v xml:space="preserve">4170071946                    </v>
      </c>
      <c r="Q666">
        <v>0</v>
      </c>
      <c r="R666">
        <v>0</v>
      </c>
      <c r="S666">
        <v>0</v>
      </c>
      <c r="T666">
        <v>0</v>
      </c>
      <c r="U666">
        <v>0</v>
      </c>
      <c r="V666">
        <v>0</v>
      </c>
      <c r="W666">
        <v>0</v>
      </c>
      <c r="X666">
        <v>0</v>
      </c>
      <c r="Y666">
        <v>0</v>
      </c>
      <c r="Z666">
        <v>0</v>
      </c>
      <c r="AA666">
        <v>0</v>
      </c>
      <c r="AB666">
        <v>0</v>
      </c>
      <c r="AC666">
        <v>0</v>
      </c>
      <c r="AD666">
        <v>0</v>
      </c>
      <c r="AE666">
        <v>0</v>
      </c>
      <c r="AF666">
        <v>0</v>
      </c>
      <c r="AG666">
        <v>0</v>
      </c>
      <c r="AH666">
        <v>0</v>
      </c>
      <c r="AI666">
        <v>0</v>
      </c>
      <c r="AJ666">
        <v>0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25.52</v>
      </c>
      <c r="AR666">
        <v>0</v>
      </c>
      <c r="AS666">
        <v>0</v>
      </c>
      <c r="AT666">
        <v>0</v>
      </c>
      <c r="AU666">
        <v>0</v>
      </c>
      <c r="AV666">
        <v>0</v>
      </c>
      <c r="AW666">
        <v>0</v>
      </c>
      <c r="AX666">
        <v>0</v>
      </c>
      <c r="AY666">
        <v>0</v>
      </c>
      <c r="AZ666">
        <v>0</v>
      </c>
      <c r="BA666">
        <v>0</v>
      </c>
      <c r="BB666">
        <v>0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1</v>
      </c>
      <c r="BI666">
        <v>1</v>
      </c>
      <c r="BJ666">
        <v>0.2</v>
      </c>
      <c r="BK666">
        <v>1</v>
      </c>
      <c r="BL666">
        <v>76.06</v>
      </c>
      <c r="BM666">
        <v>11.41</v>
      </c>
      <c r="BN666">
        <v>87.47</v>
      </c>
      <c r="BO666">
        <v>87.47</v>
      </c>
      <c r="BQ666" t="s">
        <v>1127</v>
      </c>
      <c r="BR666" t="s">
        <v>82</v>
      </c>
      <c r="BS666" s="3">
        <v>45996</v>
      </c>
      <c r="BT666" s="4">
        <v>0.43402777777777779</v>
      </c>
      <c r="BU666" t="s">
        <v>1408</v>
      </c>
      <c r="BV666" t="s">
        <v>84</v>
      </c>
      <c r="BY666">
        <v>1200</v>
      </c>
      <c r="CA666" t="s">
        <v>1228</v>
      </c>
      <c r="CC666" t="s">
        <v>142</v>
      </c>
      <c r="CD666">
        <v>6001</v>
      </c>
      <c r="CE666" t="s">
        <v>134</v>
      </c>
      <c r="CF666" s="3">
        <v>45996</v>
      </c>
      <c r="CI666">
        <v>1</v>
      </c>
      <c r="CJ666">
        <v>1</v>
      </c>
      <c r="CK666">
        <v>21</v>
      </c>
      <c r="CL666" t="s">
        <v>87</v>
      </c>
    </row>
    <row r="667" spans="1:90" x14ac:dyDescent="0.3">
      <c r="A667" t="s">
        <v>72</v>
      </c>
      <c r="B667" t="s">
        <v>73</v>
      </c>
      <c r="C667" t="s">
        <v>74</v>
      </c>
      <c r="E667" t="str">
        <f>"080069679751"</f>
        <v>080069679751</v>
      </c>
      <c r="F667" s="3">
        <v>45995</v>
      </c>
      <c r="G667">
        <v>202609</v>
      </c>
      <c r="H667" t="s">
        <v>75</v>
      </c>
      <c r="I667" t="s">
        <v>76</v>
      </c>
      <c r="J667" t="s">
        <v>77</v>
      </c>
      <c r="K667" t="s">
        <v>78</v>
      </c>
      <c r="L667" t="s">
        <v>156</v>
      </c>
      <c r="M667" t="s">
        <v>157</v>
      </c>
      <c r="N667" t="s">
        <v>1409</v>
      </c>
      <c r="O667" t="s">
        <v>89</v>
      </c>
      <c r="P667" t="str">
        <f>"4170071827                    "</f>
        <v xml:space="preserve">4170071827                    </v>
      </c>
      <c r="Q667">
        <v>0</v>
      </c>
      <c r="R667">
        <v>0</v>
      </c>
      <c r="S667">
        <v>0</v>
      </c>
      <c r="T667">
        <v>0</v>
      </c>
      <c r="U667">
        <v>0</v>
      </c>
      <c r="V667">
        <v>0</v>
      </c>
      <c r="W667">
        <v>0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0</v>
      </c>
      <c r="AD667">
        <v>0</v>
      </c>
      <c r="AE667">
        <v>0</v>
      </c>
      <c r="AF667">
        <v>0</v>
      </c>
      <c r="AG667">
        <v>0</v>
      </c>
      <c r="AH667">
        <v>0</v>
      </c>
      <c r="AI667">
        <v>0</v>
      </c>
      <c r="AJ667">
        <v>0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25.52</v>
      </c>
      <c r="AR667">
        <v>0</v>
      </c>
      <c r="AS667">
        <v>0</v>
      </c>
      <c r="AT667">
        <v>0</v>
      </c>
      <c r="AU667">
        <v>0</v>
      </c>
      <c r="AV667">
        <v>0</v>
      </c>
      <c r="AW667">
        <v>0</v>
      </c>
      <c r="AX667">
        <v>0</v>
      </c>
      <c r="AY667">
        <v>0</v>
      </c>
      <c r="AZ667">
        <v>0</v>
      </c>
      <c r="BA667">
        <v>0</v>
      </c>
      <c r="BB667">
        <v>0</v>
      </c>
      <c r="BC667">
        <v>0</v>
      </c>
      <c r="BD667">
        <v>0</v>
      </c>
      <c r="BE667">
        <v>0</v>
      </c>
      <c r="BF667">
        <v>0</v>
      </c>
      <c r="BG667">
        <v>0</v>
      </c>
      <c r="BH667">
        <v>1</v>
      </c>
      <c r="BI667">
        <v>1</v>
      </c>
      <c r="BJ667">
        <v>1.2</v>
      </c>
      <c r="BK667">
        <v>1.5</v>
      </c>
      <c r="BL667">
        <v>76.06</v>
      </c>
      <c r="BM667">
        <v>11.41</v>
      </c>
      <c r="BN667">
        <v>87.47</v>
      </c>
      <c r="BO667">
        <v>87.47</v>
      </c>
      <c r="BQ667" t="s">
        <v>1410</v>
      </c>
      <c r="BR667" t="s">
        <v>82</v>
      </c>
      <c r="BS667" s="3">
        <v>45996</v>
      </c>
      <c r="BT667" s="4">
        <v>0.41666666666666669</v>
      </c>
      <c r="BU667" t="s">
        <v>1411</v>
      </c>
      <c r="BV667" t="s">
        <v>84</v>
      </c>
      <c r="BY667">
        <v>5900</v>
      </c>
      <c r="CC667" t="s">
        <v>157</v>
      </c>
      <c r="CD667">
        <v>7800</v>
      </c>
      <c r="CE667" t="s">
        <v>93</v>
      </c>
      <c r="CF667" s="3">
        <v>45999</v>
      </c>
      <c r="CI667">
        <v>1</v>
      </c>
      <c r="CJ667">
        <v>1</v>
      </c>
      <c r="CK667">
        <v>21</v>
      </c>
      <c r="CL667" t="s">
        <v>87</v>
      </c>
    </row>
    <row r="668" spans="1:90" x14ac:dyDescent="0.3">
      <c r="A668" t="s">
        <v>72</v>
      </c>
      <c r="B668" t="s">
        <v>73</v>
      </c>
      <c r="C668" t="s">
        <v>74</v>
      </c>
      <c r="E668" t="str">
        <f>"080069679798"</f>
        <v>080069679798</v>
      </c>
      <c r="F668" s="3">
        <v>45995</v>
      </c>
      <c r="G668">
        <v>202609</v>
      </c>
      <c r="H668" t="s">
        <v>75</v>
      </c>
      <c r="I668" t="s">
        <v>76</v>
      </c>
      <c r="J668" t="s">
        <v>77</v>
      </c>
      <c r="K668" t="s">
        <v>78</v>
      </c>
      <c r="L668" t="s">
        <v>156</v>
      </c>
      <c r="M668" t="s">
        <v>157</v>
      </c>
      <c r="N668" t="s">
        <v>1412</v>
      </c>
      <c r="O668" t="s">
        <v>89</v>
      </c>
      <c r="P668" t="str">
        <f>"4170071961                    "</f>
        <v xml:space="preserve">4170071961                    </v>
      </c>
      <c r="Q668">
        <v>0</v>
      </c>
      <c r="R668">
        <v>0</v>
      </c>
      <c r="S668">
        <v>0</v>
      </c>
      <c r="T668">
        <v>0</v>
      </c>
      <c r="U668">
        <v>0</v>
      </c>
      <c r="V668">
        <v>0</v>
      </c>
      <c r="W668">
        <v>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0</v>
      </c>
      <c r="AD668">
        <v>0</v>
      </c>
      <c r="AE668">
        <v>0</v>
      </c>
      <c r="AF668">
        <v>0</v>
      </c>
      <c r="AG668">
        <v>0</v>
      </c>
      <c r="AH668">
        <v>0</v>
      </c>
      <c r="AI668">
        <v>0</v>
      </c>
      <c r="AJ668">
        <v>0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25.52</v>
      </c>
      <c r="AR668">
        <v>0</v>
      </c>
      <c r="AS668">
        <v>0</v>
      </c>
      <c r="AT668">
        <v>0</v>
      </c>
      <c r="AU668">
        <v>0</v>
      </c>
      <c r="AV668">
        <v>0</v>
      </c>
      <c r="AW668">
        <v>0</v>
      </c>
      <c r="AX668">
        <v>0</v>
      </c>
      <c r="AY668">
        <v>0</v>
      </c>
      <c r="AZ668">
        <v>0</v>
      </c>
      <c r="BA668">
        <v>0</v>
      </c>
      <c r="BB668">
        <v>0</v>
      </c>
      <c r="BC668">
        <v>0</v>
      </c>
      <c r="BD668">
        <v>0</v>
      </c>
      <c r="BE668">
        <v>0</v>
      </c>
      <c r="BF668">
        <v>0</v>
      </c>
      <c r="BG668">
        <v>0</v>
      </c>
      <c r="BH668">
        <v>1</v>
      </c>
      <c r="BI668">
        <v>1</v>
      </c>
      <c r="BJ668">
        <v>0.2</v>
      </c>
      <c r="BK668">
        <v>1</v>
      </c>
      <c r="BL668">
        <v>76.06</v>
      </c>
      <c r="BM668">
        <v>11.41</v>
      </c>
      <c r="BN668">
        <v>87.47</v>
      </c>
      <c r="BO668">
        <v>87.47</v>
      </c>
      <c r="BQ668" t="s">
        <v>1413</v>
      </c>
      <c r="BR668" t="s">
        <v>82</v>
      </c>
      <c r="BS668" s="3">
        <v>45996</v>
      </c>
      <c r="BT668" s="4">
        <v>0.51666666666666672</v>
      </c>
      <c r="BU668" t="s">
        <v>1414</v>
      </c>
      <c r="BV668" t="s">
        <v>87</v>
      </c>
      <c r="BW668" t="s">
        <v>153</v>
      </c>
      <c r="BX668" t="s">
        <v>154</v>
      </c>
      <c r="BY668">
        <v>1200</v>
      </c>
      <c r="CA668" t="s">
        <v>967</v>
      </c>
      <c r="CC668" t="s">
        <v>157</v>
      </c>
      <c r="CD668">
        <v>7499</v>
      </c>
      <c r="CE668" t="s">
        <v>134</v>
      </c>
      <c r="CF668" s="3">
        <v>45999</v>
      </c>
      <c r="CI668">
        <v>1</v>
      </c>
      <c r="CJ668">
        <v>1</v>
      </c>
      <c r="CK668">
        <v>21</v>
      </c>
      <c r="CL668" t="s">
        <v>87</v>
      </c>
    </row>
    <row r="669" spans="1:90" x14ac:dyDescent="0.3">
      <c r="A669" t="s">
        <v>72</v>
      </c>
      <c r="B669" t="s">
        <v>73</v>
      </c>
      <c r="C669" t="s">
        <v>74</v>
      </c>
      <c r="E669" t="str">
        <f>"080069679848"</f>
        <v>080069679848</v>
      </c>
      <c r="F669" s="3">
        <v>45995</v>
      </c>
      <c r="G669">
        <v>202609</v>
      </c>
      <c r="H669" t="s">
        <v>75</v>
      </c>
      <c r="I669" t="s">
        <v>76</v>
      </c>
      <c r="J669" t="s">
        <v>77</v>
      </c>
      <c r="K669" t="s">
        <v>78</v>
      </c>
      <c r="L669" t="s">
        <v>575</v>
      </c>
      <c r="M669" t="s">
        <v>576</v>
      </c>
      <c r="N669" t="s">
        <v>1415</v>
      </c>
      <c r="O669" t="s">
        <v>340</v>
      </c>
      <c r="P669" t="str">
        <f>"4170071945                    "</f>
        <v xml:space="preserve">4170071945                    </v>
      </c>
      <c r="Q669">
        <v>0</v>
      </c>
      <c r="R669">
        <v>0</v>
      </c>
      <c r="S669">
        <v>0</v>
      </c>
      <c r="T669">
        <v>0</v>
      </c>
      <c r="U669">
        <v>0</v>
      </c>
      <c r="V669">
        <v>0</v>
      </c>
      <c r="W669">
        <v>0</v>
      </c>
      <c r="X669">
        <v>0</v>
      </c>
      <c r="Y669">
        <v>0</v>
      </c>
      <c r="Z669">
        <v>0</v>
      </c>
      <c r="AA669">
        <v>0</v>
      </c>
      <c r="AB669">
        <v>0</v>
      </c>
      <c r="AC669">
        <v>0</v>
      </c>
      <c r="AD669">
        <v>0</v>
      </c>
      <c r="AE669">
        <v>0</v>
      </c>
      <c r="AF669">
        <v>0</v>
      </c>
      <c r="AG669">
        <v>0</v>
      </c>
      <c r="AH669">
        <v>0</v>
      </c>
      <c r="AI669">
        <v>0</v>
      </c>
      <c r="AJ669">
        <v>0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19.940000000000001</v>
      </c>
      <c r="AR669">
        <v>0</v>
      </c>
      <c r="AS669">
        <v>0</v>
      </c>
      <c r="AT669">
        <v>0</v>
      </c>
      <c r="AU669">
        <v>0</v>
      </c>
      <c r="AV669">
        <v>0</v>
      </c>
      <c r="AW669">
        <v>0</v>
      </c>
      <c r="AX669">
        <v>0</v>
      </c>
      <c r="AY669">
        <v>0</v>
      </c>
      <c r="AZ669">
        <v>0</v>
      </c>
      <c r="BA669">
        <v>0</v>
      </c>
      <c r="BB669">
        <v>0</v>
      </c>
      <c r="BC669">
        <v>0</v>
      </c>
      <c r="BD669">
        <v>0</v>
      </c>
      <c r="BE669">
        <v>0</v>
      </c>
      <c r="BF669">
        <v>0</v>
      </c>
      <c r="BG669">
        <v>0</v>
      </c>
      <c r="BH669">
        <v>1</v>
      </c>
      <c r="BI669">
        <v>4</v>
      </c>
      <c r="BJ669">
        <v>3</v>
      </c>
      <c r="BK669">
        <v>4</v>
      </c>
      <c r="BL669">
        <v>59.43</v>
      </c>
      <c r="BM669">
        <v>8.91</v>
      </c>
      <c r="BN669">
        <v>68.34</v>
      </c>
      <c r="BO669">
        <v>68.34</v>
      </c>
      <c r="BQ669" t="s">
        <v>1416</v>
      </c>
      <c r="BR669" t="s">
        <v>82</v>
      </c>
      <c r="BS669" s="3">
        <v>45996</v>
      </c>
      <c r="BT669" s="4">
        <v>0.35069444444444442</v>
      </c>
      <c r="BU669" t="s">
        <v>1417</v>
      </c>
      <c r="BV669" t="s">
        <v>84</v>
      </c>
      <c r="BY669">
        <v>14896</v>
      </c>
      <c r="CA669" t="s">
        <v>580</v>
      </c>
      <c r="CC669" t="s">
        <v>576</v>
      </c>
      <c r="CD669">
        <v>1451</v>
      </c>
      <c r="CE669" t="s">
        <v>1418</v>
      </c>
      <c r="CF669" s="3">
        <v>45996</v>
      </c>
      <c r="CI669">
        <v>1</v>
      </c>
      <c r="CJ669">
        <v>1</v>
      </c>
      <c r="CK669">
        <v>32</v>
      </c>
      <c r="CL669" t="s">
        <v>87</v>
      </c>
    </row>
    <row r="670" spans="1:90" x14ac:dyDescent="0.3">
      <c r="A670" t="s">
        <v>72</v>
      </c>
      <c r="B670" t="s">
        <v>73</v>
      </c>
      <c r="C670" t="s">
        <v>74</v>
      </c>
      <c r="E670" t="str">
        <f>"080069679887"</f>
        <v>080069679887</v>
      </c>
      <c r="F670" s="3">
        <v>45995</v>
      </c>
      <c r="G670">
        <v>202609</v>
      </c>
      <c r="H670" t="s">
        <v>75</v>
      </c>
      <c r="I670" t="s">
        <v>76</v>
      </c>
      <c r="J670" t="s">
        <v>77</v>
      </c>
      <c r="K670" t="s">
        <v>78</v>
      </c>
      <c r="L670" t="s">
        <v>302</v>
      </c>
      <c r="M670" t="s">
        <v>303</v>
      </c>
      <c r="N670" t="s">
        <v>651</v>
      </c>
      <c r="O670" t="s">
        <v>80</v>
      </c>
      <c r="P670" t="str">
        <f>"4170071943                    "</f>
        <v xml:space="preserve">4170071943                    </v>
      </c>
      <c r="Q670">
        <v>0</v>
      </c>
      <c r="R670">
        <v>0</v>
      </c>
      <c r="S670">
        <v>0</v>
      </c>
      <c r="T670">
        <v>0</v>
      </c>
      <c r="U670">
        <v>0</v>
      </c>
      <c r="V670">
        <v>0</v>
      </c>
      <c r="W670">
        <v>0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0</v>
      </c>
      <c r="AD670">
        <v>0</v>
      </c>
      <c r="AE670">
        <v>0</v>
      </c>
      <c r="AF670">
        <v>0</v>
      </c>
      <c r="AG670">
        <v>0</v>
      </c>
      <c r="AH670">
        <v>0</v>
      </c>
      <c r="AI670">
        <v>0</v>
      </c>
      <c r="AJ670">
        <v>0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61.6</v>
      </c>
      <c r="AR670">
        <v>0</v>
      </c>
      <c r="AS670">
        <v>0</v>
      </c>
      <c r="AT670">
        <v>0</v>
      </c>
      <c r="AU670">
        <v>0</v>
      </c>
      <c r="AV670">
        <v>0</v>
      </c>
      <c r="AW670">
        <v>0</v>
      </c>
      <c r="AX670">
        <v>0</v>
      </c>
      <c r="AY670">
        <v>0</v>
      </c>
      <c r="AZ670">
        <v>0</v>
      </c>
      <c r="BA670">
        <v>0</v>
      </c>
      <c r="BB670">
        <v>0</v>
      </c>
      <c r="BC670">
        <v>0</v>
      </c>
      <c r="BD670">
        <v>0</v>
      </c>
      <c r="BE670">
        <v>0</v>
      </c>
      <c r="BF670">
        <v>0</v>
      </c>
      <c r="BG670">
        <v>0</v>
      </c>
      <c r="BH670">
        <v>2</v>
      </c>
      <c r="BI670">
        <v>20.9</v>
      </c>
      <c r="BJ670">
        <v>12.5</v>
      </c>
      <c r="BK670">
        <v>21</v>
      </c>
      <c r="BL670">
        <v>189.68</v>
      </c>
      <c r="BM670">
        <v>28.45</v>
      </c>
      <c r="BN670">
        <v>218.13</v>
      </c>
      <c r="BO670">
        <v>218.13</v>
      </c>
      <c r="BQ670" t="s">
        <v>652</v>
      </c>
      <c r="BR670" t="s">
        <v>82</v>
      </c>
      <c r="BS670" s="3">
        <v>45996</v>
      </c>
      <c r="BT670" s="4">
        <v>0.57777777777777772</v>
      </c>
      <c r="BU670" t="s">
        <v>1419</v>
      </c>
      <c r="BV670" t="s">
        <v>84</v>
      </c>
      <c r="BY670">
        <v>62636.78</v>
      </c>
      <c r="CA670">
        <v>8303236124087</v>
      </c>
      <c r="CC670" t="s">
        <v>303</v>
      </c>
      <c r="CD670" s="5" t="s">
        <v>307</v>
      </c>
      <c r="CE670" t="s">
        <v>93</v>
      </c>
      <c r="CF670" s="3">
        <v>45996</v>
      </c>
      <c r="CI670">
        <v>1</v>
      </c>
      <c r="CJ670">
        <v>1</v>
      </c>
      <c r="CK670">
        <v>41</v>
      </c>
      <c r="CL670" t="s">
        <v>87</v>
      </c>
    </row>
    <row r="671" spans="1:90" x14ac:dyDescent="0.3">
      <c r="A671" t="s">
        <v>72</v>
      </c>
      <c r="B671" t="s">
        <v>73</v>
      </c>
      <c r="C671" t="s">
        <v>74</v>
      </c>
      <c r="E671" t="str">
        <f>"080069679916"</f>
        <v>080069679916</v>
      </c>
      <c r="F671" s="3">
        <v>45995</v>
      </c>
      <c r="G671">
        <v>202609</v>
      </c>
      <c r="H671" t="s">
        <v>75</v>
      </c>
      <c r="I671" t="s">
        <v>76</v>
      </c>
      <c r="J671" t="s">
        <v>77</v>
      </c>
      <c r="K671" t="s">
        <v>78</v>
      </c>
      <c r="L671" t="s">
        <v>515</v>
      </c>
      <c r="M671" t="s">
        <v>516</v>
      </c>
      <c r="N671" t="s">
        <v>517</v>
      </c>
      <c r="O671" t="s">
        <v>89</v>
      </c>
      <c r="P671" t="str">
        <f>"4170071792                    "</f>
        <v xml:space="preserve">4170071792                    </v>
      </c>
      <c r="Q671">
        <v>0</v>
      </c>
      <c r="R671">
        <v>0</v>
      </c>
      <c r="S671">
        <v>0</v>
      </c>
      <c r="T671">
        <v>0</v>
      </c>
      <c r="U671">
        <v>0</v>
      </c>
      <c r="V671">
        <v>0</v>
      </c>
      <c r="W671">
        <v>0</v>
      </c>
      <c r="X671">
        <v>0</v>
      </c>
      <c r="Y671">
        <v>0</v>
      </c>
      <c r="Z671">
        <v>0</v>
      </c>
      <c r="AA671">
        <v>0</v>
      </c>
      <c r="AB671">
        <v>0</v>
      </c>
      <c r="AC671">
        <v>0</v>
      </c>
      <c r="AD671">
        <v>0</v>
      </c>
      <c r="AE671">
        <v>0</v>
      </c>
      <c r="AF671">
        <v>0</v>
      </c>
      <c r="AG671">
        <v>0</v>
      </c>
      <c r="AH671">
        <v>0</v>
      </c>
      <c r="AI671">
        <v>0</v>
      </c>
      <c r="AJ671">
        <v>0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49.45</v>
      </c>
      <c r="AR671">
        <v>0</v>
      </c>
      <c r="AS671">
        <v>0</v>
      </c>
      <c r="AT671">
        <v>0</v>
      </c>
      <c r="AU671">
        <v>0</v>
      </c>
      <c r="AV671">
        <v>0</v>
      </c>
      <c r="AW671">
        <v>0</v>
      </c>
      <c r="AX671">
        <v>0</v>
      </c>
      <c r="AY671">
        <v>0</v>
      </c>
      <c r="AZ671">
        <v>0</v>
      </c>
      <c r="BA671">
        <v>0</v>
      </c>
      <c r="BB671">
        <v>0</v>
      </c>
      <c r="BC671">
        <v>0</v>
      </c>
      <c r="BD671">
        <v>0</v>
      </c>
      <c r="BE671">
        <v>0</v>
      </c>
      <c r="BF671">
        <v>0</v>
      </c>
      <c r="BG671">
        <v>0</v>
      </c>
      <c r="BH671">
        <v>1</v>
      </c>
      <c r="BI671">
        <v>1</v>
      </c>
      <c r="BJ671">
        <v>1.9</v>
      </c>
      <c r="BK671">
        <v>2</v>
      </c>
      <c r="BL671">
        <v>147.38</v>
      </c>
      <c r="BM671">
        <v>22.11</v>
      </c>
      <c r="BN671">
        <v>169.49</v>
      </c>
      <c r="BO671">
        <v>169.49</v>
      </c>
      <c r="BQ671" t="s">
        <v>518</v>
      </c>
      <c r="BR671" t="s">
        <v>82</v>
      </c>
      <c r="BS671" s="3">
        <v>45996</v>
      </c>
      <c r="BT671" s="4">
        <v>0.65833333333333333</v>
      </c>
      <c r="BU671" t="s">
        <v>948</v>
      </c>
      <c r="BV671" t="s">
        <v>84</v>
      </c>
      <c r="BY671">
        <v>9576</v>
      </c>
      <c r="CA671" t="s">
        <v>146</v>
      </c>
      <c r="CC671" t="s">
        <v>516</v>
      </c>
      <c r="CD671">
        <v>6300</v>
      </c>
      <c r="CE671" t="s">
        <v>86</v>
      </c>
      <c r="CF671" s="3">
        <v>45999</v>
      </c>
      <c r="CI671">
        <v>2</v>
      </c>
      <c r="CJ671">
        <v>1</v>
      </c>
      <c r="CK671">
        <v>23</v>
      </c>
      <c r="CL671" t="s">
        <v>87</v>
      </c>
    </row>
    <row r="672" spans="1:90" x14ac:dyDescent="0.3">
      <c r="A672" t="s">
        <v>72</v>
      </c>
      <c r="B672" t="s">
        <v>73</v>
      </c>
      <c r="C672" t="s">
        <v>74</v>
      </c>
      <c r="E672" t="str">
        <f>"080069679946"</f>
        <v>080069679946</v>
      </c>
      <c r="F672" s="3">
        <v>45995</v>
      </c>
      <c r="G672">
        <v>202609</v>
      </c>
      <c r="H672" t="s">
        <v>75</v>
      </c>
      <c r="I672" t="s">
        <v>76</v>
      </c>
      <c r="J672" t="s">
        <v>77</v>
      </c>
      <c r="K672" t="s">
        <v>78</v>
      </c>
      <c r="L672" t="s">
        <v>156</v>
      </c>
      <c r="M672" t="s">
        <v>157</v>
      </c>
      <c r="N672" t="s">
        <v>960</v>
      </c>
      <c r="O672" t="s">
        <v>89</v>
      </c>
      <c r="P672" t="str">
        <f>"4170071731                    "</f>
        <v xml:space="preserve">4170071731                    </v>
      </c>
      <c r="Q672">
        <v>0</v>
      </c>
      <c r="R672">
        <v>0</v>
      </c>
      <c r="S672">
        <v>0</v>
      </c>
      <c r="T672">
        <v>0</v>
      </c>
      <c r="U672">
        <v>0</v>
      </c>
      <c r="V672">
        <v>0</v>
      </c>
      <c r="W672">
        <v>0</v>
      </c>
      <c r="X672">
        <v>0</v>
      </c>
      <c r="Y672">
        <v>0</v>
      </c>
      <c r="Z672">
        <v>0</v>
      </c>
      <c r="AA672">
        <v>0</v>
      </c>
      <c r="AB672">
        <v>0</v>
      </c>
      <c r="AC672">
        <v>0</v>
      </c>
      <c r="AD672">
        <v>0</v>
      </c>
      <c r="AE672">
        <v>0</v>
      </c>
      <c r="AF672">
        <v>0</v>
      </c>
      <c r="AG672">
        <v>0</v>
      </c>
      <c r="AH672">
        <v>0</v>
      </c>
      <c r="AI672">
        <v>0</v>
      </c>
      <c r="AJ672">
        <v>0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153.09</v>
      </c>
      <c r="AR672">
        <v>0</v>
      </c>
      <c r="AS672">
        <v>0</v>
      </c>
      <c r="AT672">
        <v>0</v>
      </c>
      <c r="AU672">
        <v>0</v>
      </c>
      <c r="AV672">
        <v>0</v>
      </c>
      <c r="AW672">
        <v>0</v>
      </c>
      <c r="AX672">
        <v>0</v>
      </c>
      <c r="AY672">
        <v>0</v>
      </c>
      <c r="AZ672">
        <v>0</v>
      </c>
      <c r="BA672">
        <v>0</v>
      </c>
      <c r="BB672">
        <v>0</v>
      </c>
      <c r="BC672">
        <v>0</v>
      </c>
      <c r="BD672">
        <v>0</v>
      </c>
      <c r="BE672">
        <v>0</v>
      </c>
      <c r="BF672">
        <v>0</v>
      </c>
      <c r="BG672">
        <v>0</v>
      </c>
      <c r="BH672">
        <v>1</v>
      </c>
      <c r="BI672">
        <v>12</v>
      </c>
      <c r="BJ672">
        <v>9.1999999999999993</v>
      </c>
      <c r="BK672">
        <v>12</v>
      </c>
      <c r="BL672">
        <v>456.23</v>
      </c>
      <c r="BM672">
        <v>68.430000000000007</v>
      </c>
      <c r="BN672">
        <v>524.66</v>
      </c>
      <c r="BO672">
        <v>524.66</v>
      </c>
      <c r="BQ672" t="s">
        <v>961</v>
      </c>
      <c r="BR672" t="s">
        <v>82</v>
      </c>
      <c r="BS672" s="3">
        <v>45996</v>
      </c>
      <c r="BT672" s="4">
        <v>0.41249999999999998</v>
      </c>
      <c r="BU672" t="s">
        <v>962</v>
      </c>
      <c r="BV672" t="s">
        <v>84</v>
      </c>
      <c r="BY672">
        <v>45968</v>
      </c>
      <c r="CA672" t="s">
        <v>346</v>
      </c>
      <c r="CC672" t="s">
        <v>157</v>
      </c>
      <c r="CD672">
        <v>7530</v>
      </c>
      <c r="CE672" t="s">
        <v>86</v>
      </c>
      <c r="CF672" s="3">
        <v>45999</v>
      </c>
      <c r="CI672">
        <v>1</v>
      </c>
      <c r="CJ672">
        <v>1</v>
      </c>
      <c r="CK672">
        <v>21</v>
      </c>
      <c r="CL672" t="s">
        <v>87</v>
      </c>
    </row>
    <row r="673" spans="1:90" x14ac:dyDescent="0.3">
      <c r="A673" t="s">
        <v>72</v>
      </c>
      <c r="B673" t="s">
        <v>73</v>
      </c>
      <c r="C673" t="s">
        <v>74</v>
      </c>
      <c r="E673" t="str">
        <f>"080069679995"</f>
        <v>080069679995</v>
      </c>
      <c r="F673" s="3">
        <v>45995</v>
      </c>
      <c r="G673">
        <v>202609</v>
      </c>
      <c r="H673" t="s">
        <v>75</v>
      </c>
      <c r="I673" t="s">
        <v>76</v>
      </c>
      <c r="J673" t="s">
        <v>77</v>
      </c>
      <c r="K673" t="s">
        <v>78</v>
      </c>
      <c r="L673" t="s">
        <v>535</v>
      </c>
      <c r="M673" t="s">
        <v>535</v>
      </c>
      <c r="N673" t="s">
        <v>556</v>
      </c>
      <c r="O673" t="s">
        <v>89</v>
      </c>
      <c r="P673" t="str">
        <f>"4170071794                    "</f>
        <v xml:space="preserve">4170071794                    </v>
      </c>
      <c r="Q673">
        <v>0</v>
      </c>
      <c r="R673">
        <v>0</v>
      </c>
      <c r="S673">
        <v>0</v>
      </c>
      <c r="T673">
        <v>0</v>
      </c>
      <c r="U673">
        <v>0</v>
      </c>
      <c r="V673">
        <v>0</v>
      </c>
      <c r="W673">
        <v>0</v>
      </c>
      <c r="X673">
        <v>0</v>
      </c>
      <c r="Y673">
        <v>0</v>
      </c>
      <c r="Z673">
        <v>0</v>
      </c>
      <c r="AA673">
        <v>0</v>
      </c>
      <c r="AB673">
        <v>0</v>
      </c>
      <c r="AC673">
        <v>0</v>
      </c>
      <c r="AD673">
        <v>0</v>
      </c>
      <c r="AE673">
        <v>0</v>
      </c>
      <c r="AF673">
        <v>0</v>
      </c>
      <c r="AG673">
        <v>0</v>
      </c>
      <c r="AH673">
        <v>0</v>
      </c>
      <c r="AI673">
        <v>0</v>
      </c>
      <c r="AJ673">
        <v>0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49.45</v>
      </c>
      <c r="AR673">
        <v>0</v>
      </c>
      <c r="AS673">
        <v>0</v>
      </c>
      <c r="AT673">
        <v>0</v>
      </c>
      <c r="AU673">
        <v>0</v>
      </c>
      <c r="AV673">
        <v>0</v>
      </c>
      <c r="AW673">
        <v>0</v>
      </c>
      <c r="AX673">
        <v>0</v>
      </c>
      <c r="AY673">
        <v>0</v>
      </c>
      <c r="AZ673">
        <v>0</v>
      </c>
      <c r="BA673">
        <v>0</v>
      </c>
      <c r="BB673">
        <v>0</v>
      </c>
      <c r="BC673">
        <v>0</v>
      </c>
      <c r="BD673">
        <v>0</v>
      </c>
      <c r="BE673">
        <v>0</v>
      </c>
      <c r="BF673">
        <v>0</v>
      </c>
      <c r="BG673">
        <v>0</v>
      </c>
      <c r="BH673">
        <v>1</v>
      </c>
      <c r="BI673">
        <v>1</v>
      </c>
      <c r="BJ673">
        <v>1.5</v>
      </c>
      <c r="BK673">
        <v>1.5</v>
      </c>
      <c r="BL673">
        <v>147.38</v>
      </c>
      <c r="BM673">
        <v>22.11</v>
      </c>
      <c r="BN673">
        <v>169.49</v>
      </c>
      <c r="BO673">
        <v>169.49</v>
      </c>
      <c r="BQ673" t="s">
        <v>557</v>
      </c>
      <c r="BR673" t="s">
        <v>82</v>
      </c>
      <c r="BS673" s="3">
        <v>45996</v>
      </c>
      <c r="BT673" s="4">
        <v>0.72638888888888886</v>
      </c>
      <c r="BU673" t="s">
        <v>1239</v>
      </c>
      <c r="BV673" t="s">
        <v>87</v>
      </c>
      <c r="BW673" t="s">
        <v>153</v>
      </c>
      <c r="BX673" t="s">
        <v>345</v>
      </c>
      <c r="BY673">
        <v>7540</v>
      </c>
      <c r="CA673" t="s">
        <v>539</v>
      </c>
      <c r="CC673" t="s">
        <v>535</v>
      </c>
      <c r="CD673">
        <v>7646</v>
      </c>
      <c r="CE673" t="s">
        <v>86</v>
      </c>
      <c r="CF673" s="3">
        <v>45999</v>
      </c>
      <c r="CI673">
        <v>1</v>
      </c>
      <c r="CJ673">
        <v>1</v>
      </c>
      <c r="CK673">
        <v>23</v>
      </c>
      <c r="CL673" t="s">
        <v>87</v>
      </c>
    </row>
    <row r="674" spans="1:90" x14ac:dyDescent="0.3">
      <c r="A674" t="s">
        <v>72</v>
      </c>
      <c r="B674" t="s">
        <v>73</v>
      </c>
      <c r="C674" t="s">
        <v>74</v>
      </c>
      <c r="E674" t="str">
        <f>"080069680010"</f>
        <v>080069680010</v>
      </c>
      <c r="F674" s="3">
        <v>45995</v>
      </c>
      <c r="G674">
        <v>202609</v>
      </c>
      <c r="H674" t="s">
        <v>75</v>
      </c>
      <c r="I674" t="s">
        <v>76</v>
      </c>
      <c r="J674" t="s">
        <v>77</v>
      </c>
      <c r="K674" t="s">
        <v>78</v>
      </c>
      <c r="L674" t="s">
        <v>148</v>
      </c>
      <c r="M674" t="s">
        <v>149</v>
      </c>
      <c r="N674" t="s">
        <v>150</v>
      </c>
      <c r="O674" t="s">
        <v>89</v>
      </c>
      <c r="P674" t="str">
        <f>"4170071981                    "</f>
        <v xml:space="preserve">4170071981                    </v>
      </c>
      <c r="Q674">
        <v>0</v>
      </c>
      <c r="R674">
        <v>0</v>
      </c>
      <c r="S674">
        <v>0</v>
      </c>
      <c r="T674">
        <v>0</v>
      </c>
      <c r="U674">
        <v>0</v>
      </c>
      <c r="V674">
        <v>0</v>
      </c>
      <c r="W674">
        <v>0</v>
      </c>
      <c r="X674">
        <v>0</v>
      </c>
      <c r="Y674">
        <v>0</v>
      </c>
      <c r="Z674">
        <v>0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0</v>
      </c>
      <c r="AJ674">
        <v>0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49.45</v>
      </c>
      <c r="AR674">
        <v>0</v>
      </c>
      <c r="AS674">
        <v>0</v>
      </c>
      <c r="AT674">
        <v>0</v>
      </c>
      <c r="AU674">
        <v>0</v>
      </c>
      <c r="AV674">
        <v>0</v>
      </c>
      <c r="AW674">
        <v>0</v>
      </c>
      <c r="AX674">
        <v>0</v>
      </c>
      <c r="AY674">
        <v>0</v>
      </c>
      <c r="AZ674">
        <v>0</v>
      </c>
      <c r="BA674">
        <v>0</v>
      </c>
      <c r="BB674">
        <v>0</v>
      </c>
      <c r="BC674">
        <v>0</v>
      </c>
      <c r="BD674">
        <v>0</v>
      </c>
      <c r="BE674">
        <v>0</v>
      </c>
      <c r="BF674">
        <v>0</v>
      </c>
      <c r="BG674">
        <v>0</v>
      </c>
      <c r="BH674">
        <v>1</v>
      </c>
      <c r="BI674">
        <v>2</v>
      </c>
      <c r="BJ674">
        <v>1.9</v>
      </c>
      <c r="BK674">
        <v>2</v>
      </c>
      <c r="BL674">
        <v>147.38</v>
      </c>
      <c r="BM674">
        <v>22.11</v>
      </c>
      <c r="BN674">
        <v>169.49</v>
      </c>
      <c r="BO674">
        <v>169.49</v>
      </c>
      <c r="BQ674" t="s">
        <v>151</v>
      </c>
      <c r="BR674" t="s">
        <v>82</v>
      </c>
      <c r="BS674" s="3">
        <v>45996</v>
      </c>
      <c r="BT674" s="4">
        <v>0.7270833333333333</v>
      </c>
      <c r="BU674" t="s">
        <v>1420</v>
      </c>
      <c r="BV674" t="s">
        <v>84</v>
      </c>
      <c r="BY674">
        <v>9600</v>
      </c>
      <c r="CA674" t="s">
        <v>1421</v>
      </c>
      <c r="CC674" t="s">
        <v>149</v>
      </c>
      <c r="CD674">
        <v>7300</v>
      </c>
      <c r="CE674" t="s">
        <v>86</v>
      </c>
      <c r="CF674" s="3">
        <v>45999</v>
      </c>
      <c r="CI674">
        <v>1</v>
      </c>
      <c r="CJ674">
        <v>1</v>
      </c>
      <c r="CK674">
        <v>23</v>
      </c>
      <c r="CL674" t="s">
        <v>87</v>
      </c>
    </row>
    <row r="675" spans="1:90" x14ac:dyDescent="0.3">
      <c r="A675" t="s">
        <v>72</v>
      </c>
      <c r="B675" t="s">
        <v>73</v>
      </c>
      <c r="C675" t="s">
        <v>74</v>
      </c>
      <c r="E675" t="str">
        <f>"080069680093"</f>
        <v>080069680093</v>
      </c>
      <c r="F675" s="3">
        <v>45995</v>
      </c>
      <c r="G675">
        <v>202609</v>
      </c>
      <c r="H675" t="s">
        <v>75</v>
      </c>
      <c r="I675" t="s">
        <v>76</v>
      </c>
      <c r="J675" t="s">
        <v>77</v>
      </c>
      <c r="K675" t="s">
        <v>78</v>
      </c>
      <c r="L675" t="s">
        <v>156</v>
      </c>
      <c r="M675" t="s">
        <v>157</v>
      </c>
      <c r="N675" t="s">
        <v>434</v>
      </c>
      <c r="O675" t="s">
        <v>89</v>
      </c>
      <c r="P675" t="str">
        <f>"4170071955                    "</f>
        <v xml:space="preserve">4170071955                    </v>
      </c>
      <c r="Q675">
        <v>0</v>
      </c>
      <c r="R675">
        <v>0</v>
      </c>
      <c r="S675">
        <v>0</v>
      </c>
      <c r="T675">
        <v>0</v>
      </c>
      <c r="U675">
        <v>0</v>
      </c>
      <c r="V675">
        <v>0</v>
      </c>
      <c r="W675">
        <v>0</v>
      </c>
      <c r="X675">
        <v>0</v>
      </c>
      <c r="Y675">
        <v>0</v>
      </c>
      <c r="Z675">
        <v>0</v>
      </c>
      <c r="AA675">
        <v>0</v>
      </c>
      <c r="AB675">
        <v>0</v>
      </c>
      <c r="AC675">
        <v>0</v>
      </c>
      <c r="AD675">
        <v>0</v>
      </c>
      <c r="AE675">
        <v>0</v>
      </c>
      <c r="AF675">
        <v>0</v>
      </c>
      <c r="AG675">
        <v>0</v>
      </c>
      <c r="AH675">
        <v>0</v>
      </c>
      <c r="AI675">
        <v>0</v>
      </c>
      <c r="AJ675">
        <v>0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25.52</v>
      </c>
      <c r="AR675">
        <v>0</v>
      </c>
      <c r="AS675">
        <v>0</v>
      </c>
      <c r="AT675">
        <v>0</v>
      </c>
      <c r="AU675">
        <v>0</v>
      </c>
      <c r="AV675">
        <v>0</v>
      </c>
      <c r="AW675">
        <v>0</v>
      </c>
      <c r="AX675">
        <v>0</v>
      </c>
      <c r="AY675">
        <v>0</v>
      </c>
      <c r="AZ675">
        <v>0</v>
      </c>
      <c r="BA675">
        <v>0</v>
      </c>
      <c r="BB675">
        <v>0</v>
      </c>
      <c r="BC675">
        <v>0</v>
      </c>
      <c r="BD675">
        <v>0</v>
      </c>
      <c r="BE675">
        <v>0</v>
      </c>
      <c r="BF675">
        <v>0</v>
      </c>
      <c r="BG675">
        <v>0</v>
      </c>
      <c r="BH675">
        <v>1</v>
      </c>
      <c r="BI675">
        <v>2</v>
      </c>
      <c r="BJ675">
        <v>1.4</v>
      </c>
      <c r="BK675">
        <v>2</v>
      </c>
      <c r="BL675">
        <v>76.06</v>
      </c>
      <c r="BM675">
        <v>11.41</v>
      </c>
      <c r="BN675">
        <v>87.47</v>
      </c>
      <c r="BO675">
        <v>87.47</v>
      </c>
      <c r="BQ675" t="s">
        <v>435</v>
      </c>
      <c r="BR675" t="s">
        <v>82</v>
      </c>
      <c r="BS675" s="3">
        <v>45996</v>
      </c>
      <c r="BT675" s="4">
        <v>0.39583333333333331</v>
      </c>
      <c r="BU675" t="s">
        <v>1193</v>
      </c>
      <c r="BV675" t="s">
        <v>84</v>
      </c>
      <c r="BY675">
        <v>7000</v>
      </c>
      <c r="CA675" t="s">
        <v>264</v>
      </c>
      <c r="CC675" t="s">
        <v>157</v>
      </c>
      <c r="CD675">
        <v>7441</v>
      </c>
      <c r="CE675" t="s">
        <v>86</v>
      </c>
      <c r="CF675" s="3">
        <v>45999</v>
      </c>
      <c r="CI675">
        <v>1</v>
      </c>
      <c r="CJ675">
        <v>1</v>
      </c>
      <c r="CK675">
        <v>21</v>
      </c>
      <c r="CL675" t="s">
        <v>87</v>
      </c>
    </row>
    <row r="676" spans="1:90" x14ac:dyDescent="0.3">
      <c r="A676" t="s">
        <v>72</v>
      </c>
      <c r="B676" t="s">
        <v>73</v>
      </c>
      <c r="C676" t="s">
        <v>74</v>
      </c>
      <c r="E676" t="str">
        <f>"080069680148"</f>
        <v>080069680148</v>
      </c>
      <c r="F676" s="3">
        <v>45995</v>
      </c>
      <c r="G676">
        <v>202609</v>
      </c>
      <c r="H676" t="s">
        <v>75</v>
      </c>
      <c r="I676" t="s">
        <v>76</v>
      </c>
      <c r="J676" t="s">
        <v>77</v>
      </c>
      <c r="K676" t="s">
        <v>78</v>
      </c>
      <c r="L676" t="s">
        <v>458</v>
      </c>
      <c r="M676" t="s">
        <v>459</v>
      </c>
      <c r="N676" t="s">
        <v>460</v>
      </c>
      <c r="O676" t="s">
        <v>89</v>
      </c>
      <c r="P676" t="str">
        <f>"4170071976                    "</f>
        <v xml:space="preserve">4170071976                    </v>
      </c>
      <c r="Q676">
        <v>0</v>
      </c>
      <c r="R676">
        <v>0</v>
      </c>
      <c r="S676">
        <v>0</v>
      </c>
      <c r="T676">
        <v>0</v>
      </c>
      <c r="U676">
        <v>0</v>
      </c>
      <c r="V676">
        <v>0</v>
      </c>
      <c r="W676">
        <v>0</v>
      </c>
      <c r="X676">
        <v>0</v>
      </c>
      <c r="Y676">
        <v>0</v>
      </c>
      <c r="Z676">
        <v>0</v>
      </c>
      <c r="AA676">
        <v>0</v>
      </c>
      <c r="AB676">
        <v>0</v>
      </c>
      <c r="AC676">
        <v>0</v>
      </c>
      <c r="AD676">
        <v>0</v>
      </c>
      <c r="AE676">
        <v>0</v>
      </c>
      <c r="AF676">
        <v>0</v>
      </c>
      <c r="AG676">
        <v>0</v>
      </c>
      <c r="AH676">
        <v>0</v>
      </c>
      <c r="AI676">
        <v>0</v>
      </c>
      <c r="AJ676">
        <v>0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138.78</v>
      </c>
      <c r="AR676">
        <v>0</v>
      </c>
      <c r="AS676">
        <v>0</v>
      </c>
      <c r="AT676">
        <v>0</v>
      </c>
      <c r="AU676">
        <v>0</v>
      </c>
      <c r="AV676">
        <v>0</v>
      </c>
      <c r="AW676">
        <v>0</v>
      </c>
      <c r="AX676">
        <v>0</v>
      </c>
      <c r="AY676">
        <v>0</v>
      </c>
      <c r="AZ676">
        <v>0</v>
      </c>
      <c r="BA676">
        <v>0</v>
      </c>
      <c r="BB676">
        <v>0</v>
      </c>
      <c r="BC676">
        <v>0</v>
      </c>
      <c r="BD676">
        <v>0</v>
      </c>
      <c r="BE676">
        <v>0</v>
      </c>
      <c r="BF676">
        <v>0</v>
      </c>
      <c r="BG676">
        <v>0</v>
      </c>
      <c r="BH676">
        <v>1</v>
      </c>
      <c r="BI676">
        <v>6</v>
      </c>
      <c r="BJ676">
        <v>1.8</v>
      </c>
      <c r="BK676">
        <v>6</v>
      </c>
      <c r="BL676">
        <v>413.59</v>
      </c>
      <c r="BM676">
        <v>62.04</v>
      </c>
      <c r="BN676">
        <v>475.63</v>
      </c>
      <c r="BO676">
        <v>475.63</v>
      </c>
      <c r="BQ676" t="s">
        <v>461</v>
      </c>
      <c r="BR676" t="s">
        <v>82</v>
      </c>
      <c r="BS676" s="3">
        <v>45996</v>
      </c>
      <c r="BT676" s="4">
        <v>0.57222222222222219</v>
      </c>
      <c r="BU676" t="s">
        <v>1422</v>
      </c>
      <c r="BV676" t="s">
        <v>87</v>
      </c>
      <c r="BW676" t="s">
        <v>153</v>
      </c>
      <c r="BX676" t="s">
        <v>345</v>
      </c>
      <c r="BY676">
        <v>8816</v>
      </c>
      <c r="CA676" t="s">
        <v>463</v>
      </c>
      <c r="CC676" t="s">
        <v>459</v>
      </c>
      <c r="CD676">
        <v>7130</v>
      </c>
      <c r="CE676" t="s">
        <v>86</v>
      </c>
      <c r="CF676" s="3">
        <v>45999</v>
      </c>
      <c r="CI676">
        <v>1</v>
      </c>
      <c r="CJ676">
        <v>1</v>
      </c>
      <c r="CK676">
        <v>23</v>
      </c>
      <c r="CL676" t="s">
        <v>87</v>
      </c>
    </row>
    <row r="677" spans="1:90" x14ac:dyDescent="0.3">
      <c r="A677" t="s">
        <v>72</v>
      </c>
      <c r="B677" t="s">
        <v>73</v>
      </c>
      <c r="C677" t="s">
        <v>74</v>
      </c>
      <c r="E677" t="str">
        <f>"080069680377"</f>
        <v>080069680377</v>
      </c>
      <c r="F677" s="3">
        <v>45995</v>
      </c>
      <c r="G677">
        <v>202609</v>
      </c>
      <c r="H677" t="s">
        <v>75</v>
      </c>
      <c r="I677" t="s">
        <v>76</v>
      </c>
      <c r="J677" t="s">
        <v>77</v>
      </c>
      <c r="K677" t="s">
        <v>78</v>
      </c>
      <c r="L677" t="s">
        <v>156</v>
      </c>
      <c r="M677" t="s">
        <v>157</v>
      </c>
      <c r="N677" t="s">
        <v>261</v>
      </c>
      <c r="O677" t="s">
        <v>89</v>
      </c>
      <c r="P677" t="str">
        <f>"4170071980                    "</f>
        <v xml:space="preserve">4170071980                    </v>
      </c>
      <c r="Q677">
        <v>0</v>
      </c>
      <c r="R677">
        <v>0</v>
      </c>
      <c r="S677">
        <v>0</v>
      </c>
      <c r="T677">
        <v>0</v>
      </c>
      <c r="U677">
        <v>0</v>
      </c>
      <c r="V677">
        <v>0</v>
      </c>
      <c r="W677">
        <v>0</v>
      </c>
      <c r="X677">
        <v>0</v>
      </c>
      <c r="Y677">
        <v>0</v>
      </c>
      <c r="Z677">
        <v>0</v>
      </c>
      <c r="AA677">
        <v>0</v>
      </c>
      <c r="AB677">
        <v>0</v>
      </c>
      <c r="AC677">
        <v>0</v>
      </c>
      <c r="AD677">
        <v>0</v>
      </c>
      <c r="AE677">
        <v>0</v>
      </c>
      <c r="AF677">
        <v>0</v>
      </c>
      <c r="AG677">
        <v>0</v>
      </c>
      <c r="AH677">
        <v>0</v>
      </c>
      <c r="AI677">
        <v>0</v>
      </c>
      <c r="AJ677">
        <v>0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38.28</v>
      </c>
      <c r="AR677">
        <v>0</v>
      </c>
      <c r="AS677">
        <v>0</v>
      </c>
      <c r="AT677">
        <v>0</v>
      </c>
      <c r="AU677">
        <v>0</v>
      </c>
      <c r="AV677">
        <v>0</v>
      </c>
      <c r="AW677">
        <v>0</v>
      </c>
      <c r="AX677">
        <v>0</v>
      </c>
      <c r="AY677">
        <v>0</v>
      </c>
      <c r="AZ677">
        <v>0</v>
      </c>
      <c r="BA677">
        <v>0</v>
      </c>
      <c r="BB677">
        <v>0</v>
      </c>
      <c r="BC677">
        <v>0</v>
      </c>
      <c r="BD677">
        <v>0</v>
      </c>
      <c r="BE677">
        <v>0</v>
      </c>
      <c r="BF677">
        <v>0</v>
      </c>
      <c r="BG677">
        <v>0</v>
      </c>
      <c r="BH677">
        <v>1</v>
      </c>
      <c r="BI677">
        <v>3</v>
      </c>
      <c r="BJ677">
        <v>2.8</v>
      </c>
      <c r="BK677">
        <v>3</v>
      </c>
      <c r="BL677">
        <v>114.08</v>
      </c>
      <c r="BM677">
        <v>17.11</v>
      </c>
      <c r="BN677">
        <v>131.19</v>
      </c>
      <c r="BO677">
        <v>131.19</v>
      </c>
      <c r="BQ677" t="s">
        <v>262</v>
      </c>
      <c r="BR677" t="s">
        <v>82</v>
      </c>
      <c r="BS677" s="3">
        <v>45996</v>
      </c>
      <c r="BT677" s="4">
        <v>0.39861111111111114</v>
      </c>
      <c r="BU677" t="s">
        <v>1423</v>
      </c>
      <c r="BV677" t="s">
        <v>84</v>
      </c>
      <c r="BY677">
        <v>14100</v>
      </c>
      <c r="CC677" t="s">
        <v>157</v>
      </c>
      <c r="CD677">
        <v>7441</v>
      </c>
      <c r="CE677" t="s">
        <v>93</v>
      </c>
      <c r="CF677" s="3">
        <v>45999</v>
      </c>
      <c r="CI677">
        <v>1</v>
      </c>
      <c r="CJ677">
        <v>1</v>
      </c>
      <c r="CK677">
        <v>21</v>
      </c>
      <c r="CL677" t="s">
        <v>87</v>
      </c>
    </row>
    <row r="678" spans="1:90" x14ac:dyDescent="0.3">
      <c r="A678" t="s">
        <v>72</v>
      </c>
      <c r="B678" t="s">
        <v>73</v>
      </c>
      <c r="C678" t="s">
        <v>74</v>
      </c>
      <c r="E678" t="str">
        <f>"080069680382"</f>
        <v>080069680382</v>
      </c>
      <c r="F678" s="3">
        <v>45995</v>
      </c>
      <c r="G678">
        <v>202609</v>
      </c>
      <c r="H678" t="s">
        <v>75</v>
      </c>
      <c r="I678" t="s">
        <v>76</v>
      </c>
      <c r="J678" t="s">
        <v>77</v>
      </c>
      <c r="K678" t="s">
        <v>78</v>
      </c>
      <c r="L678" t="s">
        <v>1002</v>
      </c>
      <c r="M678" t="s">
        <v>1003</v>
      </c>
      <c r="N678" t="s">
        <v>1424</v>
      </c>
      <c r="O678" t="s">
        <v>89</v>
      </c>
      <c r="P678" t="str">
        <f>"4170071952                    "</f>
        <v xml:space="preserve">4170071952                    </v>
      </c>
      <c r="Q678">
        <v>0</v>
      </c>
      <c r="R678">
        <v>0</v>
      </c>
      <c r="S678">
        <v>0</v>
      </c>
      <c r="T678">
        <v>0</v>
      </c>
      <c r="U678">
        <v>0</v>
      </c>
      <c r="V678">
        <v>0</v>
      </c>
      <c r="W678">
        <v>0</v>
      </c>
      <c r="X678">
        <v>0</v>
      </c>
      <c r="Y678">
        <v>0</v>
      </c>
      <c r="Z678">
        <v>0</v>
      </c>
      <c r="AA678">
        <v>0</v>
      </c>
      <c r="AB678">
        <v>0</v>
      </c>
      <c r="AC678">
        <v>0</v>
      </c>
      <c r="AD678">
        <v>0</v>
      </c>
      <c r="AE678">
        <v>0</v>
      </c>
      <c r="AF678">
        <v>0</v>
      </c>
      <c r="AG678">
        <v>0</v>
      </c>
      <c r="AH678">
        <v>0</v>
      </c>
      <c r="AI678">
        <v>0</v>
      </c>
      <c r="AJ678">
        <v>0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127.61</v>
      </c>
      <c r="AR678">
        <v>0</v>
      </c>
      <c r="AS678">
        <v>0</v>
      </c>
      <c r="AT678">
        <v>0</v>
      </c>
      <c r="AU678">
        <v>0</v>
      </c>
      <c r="AV678">
        <v>0</v>
      </c>
      <c r="AW678">
        <v>0</v>
      </c>
      <c r="AX678">
        <v>0</v>
      </c>
      <c r="AY678">
        <v>0</v>
      </c>
      <c r="AZ678">
        <v>0</v>
      </c>
      <c r="BA678">
        <v>0</v>
      </c>
      <c r="BB678">
        <v>0</v>
      </c>
      <c r="BC678">
        <v>0</v>
      </c>
      <c r="BD678">
        <v>0</v>
      </c>
      <c r="BE678">
        <v>0</v>
      </c>
      <c r="BF678">
        <v>0</v>
      </c>
      <c r="BG678">
        <v>0</v>
      </c>
      <c r="BH678">
        <v>1</v>
      </c>
      <c r="BI678">
        <v>4</v>
      </c>
      <c r="BJ678">
        <v>5.5</v>
      </c>
      <c r="BK678">
        <v>5.5</v>
      </c>
      <c r="BL678">
        <v>380.31</v>
      </c>
      <c r="BM678">
        <v>57.05</v>
      </c>
      <c r="BN678">
        <v>437.36</v>
      </c>
      <c r="BO678">
        <v>437.36</v>
      </c>
      <c r="BQ678" t="s">
        <v>1005</v>
      </c>
      <c r="BR678" t="s">
        <v>82</v>
      </c>
      <c r="BS678" s="3">
        <v>45996</v>
      </c>
      <c r="BT678" s="4">
        <v>0.62569444444444444</v>
      </c>
      <c r="BU678" t="s">
        <v>1425</v>
      </c>
      <c r="BV678" t="s">
        <v>84</v>
      </c>
      <c r="BY678">
        <v>27744</v>
      </c>
      <c r="CA678" t="s">
        <v>1426</v>
      </c>
      <c r="CC678" t="s">
        <v>1003</v>
      </c>
      <c r="CD678">
        <v>4449</v>
      </c>
      <c r="CE678" t="s">
        <v>93</v>
      </c>
      <c r="CF678" s="3">
        <v>45996</v>
      </c>
      <c r="CI678">
        <v>1</v>
      </c>
      <c r="CJ678">
        <v>1</v>
      </c>
      <c r="CK678">
        <v>23</v>
      </c>
      <c r="CL678" t="s">
        <v>87</v>
      </c>
    </row>
    <row r="679" spans="1:90" x14ac:dyDescent="0.3">
      <c r="A679" t="s">
        <v>72</v>
      </c>
      <c r="B679" t="s">
        <v>73</v>
      </c>
      <c r="C679" t="s">
        <v>74</v>
      </c>
      <c r="E679" t="str">
        <f>"080069680435"</f>
        <v>080069680435</v>
      </c>
      <c r="F679" s="3">
        <v>45995</v>
      </c>
      <c r="G679">
        <v>202609</v>
      </c>
      <c r="H679" t="s">
        <v>75</v>
      </c>
      <c r="I679" t="s">
        <v>76</v>
      </c>
      <c r="J679" t="s">
        <v>77</v>
      </c>
      <c r="K679" t="s">
        <v>78</v>
      </c>
      <c r="L679" t="s">
        <v>332</v>
      </c>
      <c r="M679" t="s">
        <v>333</v>
      </c>
      <c r="N679" t="s">
        <v>334</v>
      </c>
      <c r="O679" t="s">
        <v>89</v>
      </c>
      <c r="P679" t="str">
        <f>"4170071984                    "</f>
        <v xml:space="preserve">4170071984                    </v>
      </c>
      <c r="Q679">
        <v>0</v>
      </c>
      <c r="R679">
        <v>0</v>
      </c>
      <c r="S679">
        <v>0</v>
      </c>
      <c r="T679">
        <v>0</v>
      </c>
      <c r="U679">
        <v>0</v>
      </c>
      <c r="V679">
        <v>0</v>
      </c>
      <c r="W679">
        <v>0</v>
      </c>
      <c r="X679">
        <v>0</v>
      </c>
      <c r="Y679">
        <v>0</v>
      </c>
      <c r="Z679">
        <v>0</v>
      </c>
      <c r="AA679">
        <v>0</v>
      </c>
      <c r="AB679">
        <v>0</v>
      </c>
      <c r="AC679">
        <v>0</v>
      </c>
      <c r="AD679">
        <v>0</v>
      </c>
      <c r="AE679">
        <v>0</v>
      </c>
      <c r="AF679">
        <v>0</v>
      </c>
      <c r="AG679">
        <v>0</v>
      </c>
      <c r="AH679">
        <v>0</v>
      </c>
      <c r="AI679">
        <v>0</v>
      </c>
      <c r="AJ679">
        <v>0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49.45</v>
      </c>
      <c r="AR679">
        <v>0</v>
      </c>
      <c r="AS679">
        <v>0</v>
      </c>
      <c r="AT679">
        <v>0</v>
      </c>
      <c r="AU679">
        <v>0</v>
      </c>
      <c r="AV679">
        <v>0</v>
      </c>
      <c r="AW679">
        <v>0</v>
      </c>
      <c r="AX679">
        <v>0</v>
      </c>
      <c r="AY679">
        <v>0</v>
      </c>
      <c r="AZ679">
        <v>0</v>
      </c>
      <c r="BA679">
        <v>0</v>
      </c>
      <c r="BB679">
        <v>0</v>
      </c>
      <c r="BC679">
        <v>0</v>
      </c>
      <c r="BD679">
        <v>0</v>
      </c>
      <c r="BE679">
        <v>0</v>
      </c>
      <c r="BF679">
        <v>0</v>
      </c>
      <c r="BG679">
        <v>0</v>
      </c>
      <c r="BH679">
        <v>1</v>
      </c>
      <c r="BI679">
        <v>2</v>
      </c>
      <c r="BJ679">
        <v>1.1000000000000001</v>
      </c>
      <c r="BK679">
        <v>2</v>
      </c>
      <c r="BL679">
        <v>147.38</v>
      </c>
      <c r="BM679">
        <v>22.11</v>
      </c>
      <c r="BN679">
        <v>169.49</v>
      </c>
      <c r="BO679">
        <v>169.49</v>
      </c>
      <c r="BQ679" t="s">
        <v>335</v>
      </c>
      <c r="BR679" t="s">
        <v>82</v>
      </c>
      <c r="BS679" s="3">
        <v>45996</v>
      </c>
      <c r="BT679" s="4">
        <v>0.59097222222222223</v>
      </c>
      <c r="BU679" t="s">
        <v>1219</v>
      </c>
      <c r="BV679" t="s">
        <v>84</v>
      </c>
      <c r="BY679">
        <v>5510</v>
      </c>
      <c r="CA679">
        <v>9512195092080</v>
      </c>
      <c r="CC679" t="s">
        <v>333</v>
      </c>
      <c r="CD679">
        <v>6500</v>
      </c>
      <c r="CE679" t="s">
        <v>86</v>
      </c>
      <c r="CF679" s="3">
        <v>45999</v>
      </c>
      <c r="CI679">
        <v>1</v>
      </c>
      <c r="CJ679">
        <v>1</v>
      </c>
      <c r="CK679">
        <v>23</v>
      </c>
      <c r="CL679" t="s">
        <v>87</v>
      </c>
    </row>
    <row r="680" spans="1:90" x14ac:dyDescent="0.3">
      <c r="A680" t="s">
        <v>72</v>
      </c>
      <c r="B680" t="s">
        <v>73</v>
      </c>
      <c r="C680" t="s">
        <v>74</v>
      </c>
      <c r="E680" t="str">
        <f>"080069680440"</f>
        <v>080069680440</v>
      </c>
      <c r="F680" s="3">
        <v>45995</v>
      </c>
      <c r="G680">
        <v>202609</v>
      </c>
      <c r="H680" t="s">
        <v>75</v>
      </c>
      <c r="I680" t="s">
        <v>76</v>
      </c>
      <c r="J680" t="s">
        <v>77</v>
      </c>
      <c r="K680" t="s">
        <v>78</v>
      </c>
      <c r="L680" t="s">
        <v>100</v>
      </c>
      <c r="M680" t="s">
        <v>101</v>
      </c>
      <c r="N680" t="s">
        <v>1427</v>
      </c>
      <c r="O680" t="s">
        <v>89</v>
      </c>
      <c r="P680" t="str">
        <f>"4170071987                    "</f>
        <v xml:space="preserve">4170071987                    </v>
      </c>
      <c r="Q680">
        <v>0</v>
      </c>
      <c r="R680">
        <v>0</v>
      </c>
      <c r="S680">
        <v>0</v>
      </c>
      <c r="T680">
        <v>0</v>
      </c>
      <c r="U680">
        <v>0</v>
      </c>
      <c r="V680">
        <v>0</v>
      </c>
      <c r="W680">
        <v>0</v>
      </c>
      <c r="X680">
        <v>0</v>
      </c>
      <c r="Y680">
        <v>0</v>
      </c>
      <c r="Z680">
        <v>0</v>
      </c>
      <c r="AA680">
        <v>0</v>
      </c>
      <c r="AB680">
        <v>0</v>
      </c>
      <c r="AC680">
        <v>0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0</v>
      </c>
      <c r="AJ680">
        <v>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25.52</v>
      </c>
      <c r="AR680">
        <v>0</v>
      </c>
      <c r="AS680">
        <v>0</v>
      </c>
      <c r="AT680">
        <v>0</v>
      </c>
      <c r="AU680">
        <v>0</v>
      </c>
      <c r="AV680">
        <v>0</v>
      </c>
      <c r="AW680">
        <v>0</v>
      </c>
      <c r="AX680">
        <v>0</v>
      </c>
      <c r="AY680">
        <v>0</v>
      </c>
      <c r="AZ680">
        <v>0</v>
      </c>
      <c r="BA680">
        <v>0</v>
      </c>
      <c r="BB680">
        <v>0</v>
      </c>
      <c r="BC680">
        <v>0</v>
      </c>
      <c r="BD680">
        <v>0</v>
      </c>
      <c r="BE680">
        <v>0</v>
      </c>
      <c r="BF680">
        <v>0</v>
      </c>
      <c r="BG680">
        <v>0</v>
      </c>
      <c r="BH680">
        <v>1</v>
      </c>
      <c r="BI680">
        <v>1</v>
      </c>
      <c r="BJ680">
        <v>0.2</v>
      </c>
      <c r="BK680">
        <v>1</v>
      </c>
      <c r="BL680">
        <v>76.06</v>
      </c>
      <c r="BM680">
        <v>11.41</v>
      </c>
      <c r="BN680">
        <v>87.47</v>
      </c>
      <c r="BO680">
        <v>87.47</v>
      </c>
      <c r="BQ680" t="s">
        <v>1368</v>
      </c>
      <c r="BR680" t="s">
        <v>82</v>
      </c>
      <c r="BS680" s="3">
        <v>45996</v>
      </c>
      <c r="BT680" s="4">
        <v>0.41249999999999998</v>
      </c>
      <c r="BU680" t="s">
        <v>1428</v>
      </c>
      <c r="BV680" t="s">
        <v>84</v>
      </c>
      <c r="BY680">
        <v>1200</v>
      </c>
      <c r="CA680" t="s">
        <v>1070</v>
      </c>
      <c r="CC680" t="s">
        <v>101</v>
      </c>
      <c r="CD680">
        <v>4000</v>
      </c>
      <c r="CE680" t="s">
        <v>134</v>
      </c>
      <c r="CF680" s="3">
        <v>45996</v>
      </c>
      <c r="CI680">
        <v>1</v>
      </c>
      <c r="CJ680">
        <v>1</v>
      </c>
      <c r="CK680">
        <v>21</v>
      </c>
      <c r="CL680" t="s">
        <v>87</v>
      </c>
    </row>
    <row r="681" spans="1:90" x14ac:dyDescent="0.3">
      <c r="A681" t="s">
        <v>72</v>
      </c>
      <c r="B681" t="s">
        <v>73</v>
      </c>
      <c r="C681" t="s">
        <v>74</v>
      </c>
      <c r="E681" t="str">
        <f>"080069680475"</f>
        <v>080069680475</v>
      </c>
      <c r="F681" s="3">
        <v>45995</v>
      </c>
      <c r="G681">
        <v>202609</v>
      </c>
      <c r="H681" t="s">
        <v>75</v>
      </c>
      <c r="I681" t="s">
        <v>76</v>
      </c>
      <c r="J681" t="s">
        <v>77</v>
      </c>
      <c r="K681" t="s">
        <v>78</v>
      </c>
      <c r="L681" t="s">
        <v>100</v>
      </c>
      <c r="M681" t="s">
        <v>101</v>
      </c>
      <c r="N681" t="s">
        <v>1367</v>
      </c>
      <c r="O681" t="s">
        <v>89</v>
      </c>
      <c r="P681" t="str">
        <f>"4170071988                    "</f>
        <v xml:space="preserve">4170071988                    </v>
      </c>
      <c r="Q681">
        <v>0</v>
      </c>
      <c r="R681">
        <v>0</v>
      </c>
      <c r="S681">
        <v>0</v>
      </c>
      <c r="T681">
        <v>0</v>
      </c>
      <c r="U681">
        <v>0</v>
      </c>
      <c r="V681">
        <v>0</v>
      </c>
      <c r="W681">
        <v>0</v>
      </c>
      <c r="X681">
        <v>0</v>
      </c>
      <c r="Y681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>
        <v>0</v>
      </c>
      <c r="AG681">
        <v>0</v>
      </c>
      <c r="AH681">
        <v>0</v>
      </c>
      <c r="AI681">
        <v>0</v>
      </c>
      <c r="AJ681">
        <v>0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25.52</v>
      </c>
      <c r="AR681">
        <v>0</v>
      </c>
      <c r="AS681">
        <v>0</v>
      </c>
      <c r="AT681">
        <v>0</v>
      </c>
      <c r="AU681">
        <v>0</v>
      </c>
      <c r="AV681">
        <v>0</v>
      </c>
      <c r="AW681">
        <v>0</v>
      </c>
      <c r="AX681">
        <v>0</v>
      </c>
      <c r="AY681">
        <v>0</v>
      </c>
      <c r="AZ681">
        <v>0</v>
      </c>
      <c r="BA681">
        <v>0</v>
      </c>
      <c r="BB681">
        <v>0</v>
      </c>
      <c r="BC681">
        <v>0</v>
      </c>
      <c r="BD681">
        <v>0</v>
      </c>
      <c r="BE681">
        <v>0</v>
      </c>
      <c r="BF681">
        <v>0</v>
      </c>
      <c r="BG681">
        <v>0</v>
      </c>
      <c r="BH681">
        <v>1</v>
      </c>
      <c r="BI681">
        <v>1</v>
      </c>
      <c r="BJ681">
        <v>1.1000000000000001</v>
      </c>
      <c r="BK681">
        <v>1.5</v>
      </c>
      <c r="BL681">
        <v>76.06</v>
      </c>
      <c r="BM681">
        <v>11.41</v>
      </c>
      <c r="BN681">
        <v>87.47</v>
      </c>
      <c r="BO681">
        <v>87.47</v>
      </c>
      <c r="BQ681" t="s">
        <v>1429</v>
      </c>
      <c r="BR681" t="s">
        <v>82</v>
      </c>
      <c r="BS681" s="3">
        <v>45996</v>
      </c>
      <c r="BT681" s="4">
        <v>0.41249999999999998</v>
      </c>
      <c r="BU681" t="s">
        <v>1428</v>
      </c>
      <c r="BV681" t="s">
        <v>84</v>
      </c>
      <c r="BY681">
        <v>5510</v>
      </c>
      <c r="CA681" t="s">
        <v>1070</v>
      </c>
      <c r="CC681" t="s">
        <v>101</v>
      </c>
      <c r="CD681">
        <v>4001</v>
      </c>
      <c r="CE681" t="s">
        <v>86</v>
      </c>
      <c r="CF681" s="3">
        <v>45996</v>
      </c>
      <c r="CI681">
        <v>1</v>
      </c>
      <c r="CJ681">
        <v>1</v>
      </c>
      <c r="CK681">
        <v>21</v>
      </c>
      <c r="CL681" t="s">
        <v>87</v>
      </c>
    </row>
    <row r="682" spans="1:90" x14ac:dyDescent="0.3">
      <c r="A682" t="s">
        <v>72</v>
      </c>
      <c r="B682" t="s">
        <v>73</v>
      </c>
      <c r="C682" t="s">
        <v>74</v>
      </c>
      <c r="E682" t="str">
        <f>"080069680474"</f>
        <v>080069680474</v>
      </c>
      <c r="F682" s="3">
        <v>45995</v>
      </c>
      <c r="G682">
        <v>202609</v>
      </c>
      <c r="H682" t="s">
        <v>75</v>
      </c>
      <c r="I682" t="s">
        <v>76</v>
      </c>
      <c r="J682" t="s">
        <v>77</v>
      </c>
      <c r="K682" t="s">
        <v>78</v>
      </c>
      <c r="L682" t="s">
        <v>156</v>
      </c>
      <c r="M682" t="s">
        <v>157</v>
      </c>
      <c r="N682" t="s">
        <v>261</v>
      </c>
      <c r="O682" t="s">
        <v>89</v>
      </c>
      <c r="P682" t="str">
        <f>"4170071979                    "</f>
        <v xml:space="preserve">4170071979                    </v>
      </c>
      <c r="Q682">
        <v>0</v>
      </c>
      <c r="R682">
        <v>0</v>
      </c>
      <c r="S682">
        <v>0</v>
      </c>
      <c r="T682">
        <v>0</v>
      </c>
      <c r="U682">
        <v>0</v>
      </c>
      <c r="V682">
        <v>0</v>
      </c>
      <c r="W682">
        <v>0</v>
      </c>
      <c r="X682">
        <v>0</v>
      </c>
      <c r="Y682">
        <v>0</v>
      </c>
      <c r="Z682">
        <v>0</v>
      </c>
      <c r="AA682">
        <v>0</v>
      </c>
      <c r="AB682">
        <v>0</v>
      </c>
      <c r="AC682">
        <v>0</v>
      </c>
      <c r="AD682">
        <v>0</v>
      </c>
      <c r="AE682">
        <v>0</v>
      </c>
      <c r="AF682">
        <v>0</v>
      </c>
      <c r="AG682">
        <v>0</v>
      </c>
      <c r="AH682">
        <v>0</v>
      </c>
      <c r="AI682">
        <v>0</v>
      </c>
      <c r="AJ682">
        <v>0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25.52</v>
      </c>
      <c r="AR682">
        <v>0</v>
      </c>
      <c r="AS682">
        <v>0</v>
      </c>
      <c r="AT682">
        <v>0</v>
      </c>
      <c r="AU682">
        <v>0</v>
      </c>
      <c r="AV682">
        <v>0</v>
      </c>
      <c r="AW682">
        <v>0</v>
      </c>
      <c r="AX682">
        <v>0</v>
      </c>
      <c r="AY682">
        <v>0</v>
      </c>
      <c r="AZ682">
        <v>0</v>
      </c>
      <c r="BA682">
        <v>0</v>
      </c>
      <c r="BB682">
        <v>0</v>
      </c>
      <c r="BC682">
        <v>0</v>
      </c>
      <c r="BD682">
        <v>0</v>
      </c>
      <c r="BE682">
        <v>0</v>
      </c>
      <c r="BF682">
        <v>0</v>
      </c>
      <c r="BG682">
        <v>0</v>
      </c>
      <c r="BH682">
        <v>1</v>
      </c>
      <c r="BI682">
        <v>1</v>
      </c>
      <c r="BJ682">
        <v>0.2</v>
      </c>
      <c r="BK682">
        <v>1</v>
      </c>
      <c r="BL682">
        <v>76.06</v>
      </c>
      <c r="BM682">
        <v>11.41</v>
      </c>
      <c r="BN682">
        <v>87.47</v>
      </c>
      <c r="BO682">
        <v>87.47</v>
      </c>
      <c r="BQ682" t="s">
        <v>262</v>
      </c>
      <c r="BR682" t="s">
        <v>82</v>
      </c>
      <c r="BS682" s="3">
        <v>45996</v>
      </c>
      <c r="BT682" s="4">
        <v>0.39861111111111114</v>
      </c>
      <c r="BU682" t="s">
        <v>263</v>
      </c>
      <c r="BV682" t="s">
        <v>84</v>
      </c>
      <c r="BY682">
        <v>1200</v>
      </c>
      <c r="CA682" t="s">
        <v>264</v>
      </c>
      <c r="CC682" t="s">
        <v>157</v>
      </c>
      <c r="CD682">
        <v>7441</v>
      </c>
      <c r="CE682" t="s">
        <v>134</v>
      </c>
      <c r="CF682" s="3">
        <v>45999</v>
      </c>
      <c r="CI682">
        <v>1</v>
      </c>
      <c r="CJ682">
        <v>1</v>
      </c>
      <c r="CK682">
        <v>21</v>
      </c>
      <c r="CL682" t="s">
        <v>87</v>
      </c>
    </row>
    <row r="683" spans="1:90" x14ac:dyDescent="0.3">
      <c r="A683" t="s">
        <v>72</v>
      </c>
      <c r="B683" t="s">
        <v>73</v>
      </c>
      <c r="C683" t="s">
        <v>74</v>
      </c>
      <c r="E683" t="str">
        <f>"080069680509"</f>
        <v>080069680509</v>
      </c>
      <c r="F683" s="3">
        <v>45995</v>
      </c>
      <c r="G683">
        <v>202609</v>
      </c>
      <c r="H683" t="s">
        <v>75</v>
      </c>
      <c r="I683" t="s">
        <v>76</v>
      </c>
      <c r="J683" t="s">
        <v>77</v>
      </c>
      <c r="K683" t="s">
        <v>78</v>
      </c>
      <c r="L683" t="s">
        <v>458</v>
      </c>
      <c r="M683" t="s">
        <v>459</v>
      </c>
      <c r="N683" t="s">
        <v>460</v>
      </c>
      <c r="O683" t="s">
        <v>89</v>
      </c>
      <c r="P683" t="str">
        <f>"4170071978                    "</f>
        <v xml:space="preserve">4170071978                    </v>
      </c>
      <c r="Q683">
        <v>0</v>
      </c>
      <c r="R683">
        <v>0</v>
      </c>
      <c r="S683">
        <v>0</v>
      </c>
      <c r="T683">
        <v>0</v>
      </c>
      <c r="U683">
        <v>0</v>
      </c>
      <c r="V683">
        <v>0</v>
      </c>
      <c r="W683">
        <v>0</v>
      </c>
      <c r="X683">
        <v>0</v>
      </c>
      <c r="Y683">
        <v>0</v>
      </c>
      <c r="Z683">
        <v>0</v>
      </c>
      <c r="AA683">
        <v>0</v>
      </c>
      <c r="AB683">
        <v>0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0</v>
      </c>
      <c r="AJ683">
        <v>0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49.45</v>
      </c>
      <c r="AR683">
        <v>0</v>
      </c>
      <c r="AS683">
        <v>0</v>
      </c>
      <c r="AT683">
        <v>0</v>
      </c>
      <c r="AU683">
        <v>0</v>
      </c>
      <c r="AV683">
        <v>0</v>
      </c>
      <c r="AW683">
        <v>0</v>
      </c>
      <c r="AX683">
        <v>0</v>
      </c>
      <c r="AY683">
        <v>0</v>
      </c>
      <c r="AZ683">
        <v>0</v>
      </c>
      <c r="BA683">
        <v>0</v>
      </c>
      <c r="BB683">
        <v>0</v>
      </c>
      <c r="BC683">
        <v>0</v>
      </c>
      <c r="BD683">
        <v>0</v>
      </c>
      <c r="BE683">
        <v>0</v>
      </c>
      <c r="BF683">
        <v>0</v>
      </c>
      <c r="BG683">
        <v>0</v>
      </c>
      <c r="BH683">
        <v>1</v>
      </c>
      <c r="BI683">
        <v>1</v>
      </c>
      <c r="BJ683">
        <v>0.2</v>
      </c>
      <c r="BK683">
        <v>1</v>
      </c>
      <c r="BL683">
        <v>147.38</v>
      </c>
      <c r="BM683">
        <v>22.11</v>
      </c>
      <c r="BN683">
        <v>169.49</v>
      </c>
      <c r="BO683">
        <v>169.49</v>
      </c>
      <c r="BQ683" t="s">
        <v>461</v>
      </c>
      <c r="BR683" t="s">
        <v>82</v>
      </c>
      <c r="BS683" s="3">
        <v>45996</v>
      </c>
      <c r="BT683" s="4">
        <v>0.57222222222222219</v>
      </c>
      <c r="BU683" t="s">
        <v>1422</v>
      </c>
      <c r="BV683" t="s">
        <v>87</v>
      </c>
      <c r="BW683" t="s">
        <v>153</v>
      </c>
      <c r="BX683" t="s">
        <v>345</v>
      </c>
      <c r="BY683">
        <v>1200</v>
      </c>
      <c r="CA683" t="s">
        <v>1430</v>
      </c>
      <c r="CC683" t="s">
        <v>459</v>
      </c>
      <c r="CD683">
        <v>7130</v>
      </c>
      <c r="CE683" t="s">
        <v>134</v>
      </c>
      <c r="CF683" s="3">
        <v>45999</v>
      </c>
      <c r="CI683">
        <v>1</v>
      </c>
      <c r="CJ683">
        <v>1</v>
      </c>
      <c r="CK683">
        <v>23</v>
      </c>
      <c r="CL683" t="s">
        <v>87</v>
      </c>
    </row>
    <row r="684" spans="1:90" x14ac:dyDescent="0.3">
      <c r="A684" t="s">
        <v>72</v>
      </c>
      <c r="B684" t="s">
        <v>73</v>
      </c>
      <c r="C684" t="s">
        <v>74</v>
      </c>
      <c r="E684" t="str">
        <f>"080069680564"</f>
        <v>080069680564</v>
      </c>
      <c r="F684" s="3">
        <v>45995</v>
      </c>
      <c r="G684">
        <v>202609</v>
      </c>
      <c r="H684" t="s">
        <v>75</v>
      </c>
      <c r="I684" t="s">
        <v>76</v>
      </c>
      <c r="J684" t="s">
        <v>77</v>
      </c>
      <c r="K684" t="s">
        <v>78</v>
      </c>
      <c r="L684" t="s">
        <v>156</v>
      </c>
      <c r="M684" t="s">
        <v>157</v>
      </c>
      <c r="N684" t="s">
        <v>158</v>
      </c>
      <c r="O684" t="s">
        <v>80</v>
      </c>
      <c r="P684" t="str">
        <f>"4170072013                    "</f>
        <v xml:space="preserve">4170072013                    </v>
      </c>
      <c r="Q684">
        <v>0</v>
      </c>
      <c r="R684">
        <v>0</v>
      </c>
      <c r="S684">
        <v>0</v>
      </c>
      <c r="T684">
        <v>0</v>
      </c>
      <c r="U684">
        <v>0</v>
      </c>
      <c r="V684">
        <v>0</v>
      </c>
      <c r="W684">
        <v>0</v>
      </c>
      <c r="X684">
        <v>0</v>
      </c>
      <c r="Y684">
        <v>0</v>
      </c>
      <c r="Z684">
        <v>0</v>
      </c>
      <c r="AA684">
        <v>0</v>
      </c>
      <c r="AB684">
        <v>0</v>
      </c>
      <c r="AC684">
        <v>0</v>
      </c>
      <c r="AD684">
        <v>0</v>
      </c>
      <c r="AE684">
        <v>0</v>
      </c>
      <c r="AF684">
        <v>0</v>
      </c>
      <c r="AG684">
        <v>0</v>
      </c>
      <c r="AH684">
        <v>0</v>
      </c>
      <c r="AI684">
        <v>0</v>
      </c>
      <c r="AJ684">
        <v>0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177.89</v>
      </c>
      <c r="AR684">
        <v>0</v>
      </c>
      <c r="AS684">
        <v>0</v>
      </c>
      <c r="AT684">
        <v>0</v>
      </c>
      <c r="AU684">
        <v>0</v>
      </c>
      <c r="AV684">
        <v>0</v>
      </c>
      <c r="AW684">
        <v>0</v>
      </c>
      <c r="AX684">
        <v>0</v>
      </c>
      <c r="AY684">
        <v>0</v>
      </c>
      <c r="AZ684">
        <v>0</v>
      </c>
      <c r="BA684">
        <v>0</v>
      </c>
      <c r="BB684">
        <v>0</v>
      </c>
      <c r="BC684">
        <v>0</v>
      </c>
      <c r="BD684">
        <v>0</v>
      </c>
      <c r="BE684">
        <v>0</v>
      </c>
      <c r="BF684">
        <v>0</v>
      </c>
      <c r="BG684">
        <v>0</v>
      </c>
      <c r="BH684">
        <v>1</v>
      </c>
      <c r="BI684">
        <v>62</v>
      </c>
      <c r="BJ684">
        <v>77.2</v>
      </c>
      <c r="BK684">
        <v>78</v>
      </c>
      <c r="BL684">
        <v>536.25</v>
      </c>
      <c r="BM684">
        <v>80.44</v>
      </c>
      <c r="BN684">
        <v>616.69000000000005</v>
      </c>
      <c r="BO684">
        <v>616.69000000000005</v>
      </c>
      <c r="BQ684" t="s">
        <v>159</v>
      </c>
      <c r="BR684" t="s">
        <v>82</v>
      </c>
      <c r="BS684" s="3">
        <v>46002</v>
      </c>
      <c r="BT684" s="4">
        <v>0.37430555555555556</v>
      </c>
      <c r="BU684" t="s">
        <v>1431</v>
      </c>
      <c r="BV684" t="s">
        <v>87</v>
      </c>
      <c r="BW684" t="s">
        <v>186</v>
      </c>
      <c r="BX684" t="s">
        <v>1432</v>
      </c>
      <c r="BY684">
        <v>385968</v>
      </c>
      <c r="CC684" t="s">
        <v>157</v>
      </c>
      <c r="CD684">
        <v>7530</v>
      </c>
      <c r="CE684" t="s">
        <v>546</v>
      </c>
      <c r="CI684">
        <v>3</v>
      </c>
      <c r="CJ684">
        <v>5</v>
      </c>
      <c r="CK684">
        <v>41</v>
      </c>
      <c r="CL684" t="s">
        <v>87</v>
      </c>
    </row>
    <row r="685" spans="1:90" x14ac:dyDescent="0.3">
      <c r="A685" t="s">
        <v>72</v>
      </c>
      <c r="B685" t="s">
        <v>73</v>
      </c>
      <c r="C685" t="s">
        <v>74</v>
      </c>
      <c r="E685" t="str">
        <f>"080069680621"</f>
        <v>080069680621</v>
      </c>
      <c r="F685" s="3">
        <v>45995</v>
      </c>
      <c r="G685">
        <v>202609</v>
      </c>
      <c r="H685" t="s">
        <v>75</v>
      </c>
      <c r="I685" t="s">
        <v>76</v>
      </c>
      <c r="J685" t="s">
        <v>77</v>
      </c>
      <c r="K685" t="s">
        <v>78</v>
      </c>
      <c r="L685" t="s">
        <v>176</v>
      </c>
      <c r="M685" t="s">
        <v>177</v>
      </c>
      <c r="N685" t="s">
        <v>410</v>
      </c>
      <c r="O685" t="s">
        <v>80</v>
      </c>
      <c r="P685" t="str">
        <f>"4170071834                    "</f>
        <v xml:space="preserve">4170071834                    </v>
      </c>
      <c r="Q685">
        <v>0</v>
      </c>
      <c r="R685">
        <v>0</v>
      </c>
      <c r="S685">
        <v>0</v>
      </c>
      <c r="T685">
        <v>0</v>
      </c>
      <c r="U685">
        <v>0</v>
      </c>
      <c r="V685">
        <v>0</v>
      </c>
      <c r="W685">
        <v>0</v>
      </c>
      <c r="X685">
        <v>0</v>
      </c>
      <c r="Y685">
        <v>0</v>
      </c>
      <c r="Z685">
        <v>0</v>
      </c>
      <c r="AA685">
        <v>0</v>
      </c>
      <c r="AB685">
        <v>0</v>
      </c>
      <c r="AC685">
        <v>0</v>
      </c>
      <c r="AD685">
        <v>0</v>
      </c>
      <c r="AE685">
        <v>0</v>
      </c>
      <c r="AF685">
        <v>0</v>
      </c>
      <c r="AG685">
        <v>0</v>
      </c>
      <c r="AH685">
        <v>0</v>
      </c>
      <c r="AI685">
        <v>0</v>
      </c>
      <c r="AJ685">
        <v>0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43.64</v>
      </c>
      <c r="AR685">
        <v>0</v>
      </c>
      <c r="AS685">
        <v>0</v>
      </c>
      <c r="AT685">
        <v>0</v>
      </c>
      <c r="AU685">
        <v>0</v>
      </c>
      <c r="AV685">
        <v>0</v>
      </c>
      <c r="AW685">
        <v>0</v>
      </c>
      <c r="AX685">
        <v>0</v>
      </c>
      <c r="AY685">
        <v>0</v>
      </c>
      <c r="AZ685">
        <v>0</v>
      </c>
      <c r="BA685">
        <v>0</v>
      </c>
      <c r="BB685">
        <v>0</v>
      </c>
      <c r="BC685">
        <v>0</v>
      </c>
      <c r="BD685">
        <v>0</v>
      </c>
      <c r="BE685">
        <v>0</v>
      </c>
      <c r="BF685">
        <v>0</v>
      </c>
      <c r="BG685">
        <v>0</v>
      </c>
      <c r="BH685">
        <v>1</v>
      </c>
      <c r="BI685">
        <v>19.8</v>
      </c>
      <c r="BJ685">
        <v>19.100000000000001</v>
      </c>
      <c r="BK685">
        <v>20</v>
      </c>
      <c r="BL685">
        <v>136.16</v>
      </c>
      <c r="BM685">
        <v>20.420000000000002</v>
      </c>
      <c r="BN685">
        <v>156.58000000000001</v>
      </c>
      <c r="BO685">
        <v>156.58000000000001</v>
      </c>
      <c r="BQ685" t="s">
        <v>411</v>
      </c>
      <c r="BR685" t="s">
        <v>82</v>
      </c>
      <c r="BS685" s="3">
        <v>45996</v>
      </c>
      <c r="BT685" s="4">
        <v>0.35416666666666669</v>
      </c>
      <c r="BU685" t="s">
        <v>1433</v>
      </c>
      <c r="BV685" t="s">
        <v>84</v>
      </c>
      <c r="BY685">
        <v>95506.35</v>
      </c>
      <c r="CC685" t="s">
        <v>177</v>
      </c>
      <c r="CD685">
        <v>2013</v>
      </c>
      <c r="CE685" t="s">
        <v>86</v>
      </c>
      <c r="CF685" s="3">
        <v>45997</v>
      </c>
      <c r="CI685">
        <v>1</v>
      </c>
      <c r="CJ685">
        <v>1</v>
      </c>
      <c r="CK685">
        <v>42</v>
      </c>
      <c r="CL685" t="s">
        <v>87</v>
      </c>
    </row>
    <row r="686" spans="1:90" x14ac:dyDescent="0.3">
      <c r="A686" t="s">
        <v>72</v>
      </c>
      <c r="B686" t="s">
        <v>73</v>
      </c>
      <c r="C686" t="s">
        <v>74</v>
      </c>
      <c r="E686" t="str">
        <f>"080069680668"</f>
        <v>080069680668</v>
      </c>
      <c r="F686" s="3">
        <v>45995</v>
      </c>
      <c r="G686">
        <v>202609</v>
      </c>
      <c r="H686" t="s">
        <v>75</v>
      </c>
      <c r="I686" t="s">
        <v>76</v>
      </c>
      <c r="J686" t="s">
        <v>77</v>
      </c>
      <c r="K686" t="s">
        <v>78</v>
      </c>
      <c r="L686" t="s">
        <v>176</v>
      </c>
      <c r="M686" t="s">
        <v>177</v>
      </c>
      <c r="N686" t="s">
        <v>1434</v>
      </c>
      <c r="O686" t="s">
        <v>89</v>
      </c>
      <c r="P686" t="str">
        <f>"4170071921                    "</f>
        <v xml:space="preserve">4170071921                    </v>
      </c>
      <c r="Q686">
        <v>0</v>
      </c>
      <c r="R686">
        <v>0</v>
      </c>
      <c r="S686">
        <v>0</v>
      </c>
      <c r="T686">
        <v>0</v>
      </c>
      <c r="U686">
        <v>0</v>
      </c>
      <c r="V686">
        <v>0</v>
      </c>
      <c r="W686">
        <v>0</v>
      </c>
      <c r="X686">
        <v>0</v>
      </c>
      <c r="Y686">
        <v>0</v>
      </c>
      <c r="Z686">
        <v>0</v>
      </c>
      <c r="AA686">
        <v>0</v>
      </c>
      <c r="AB686">
        <v>0</v>
      </c>
      <c r="AC686">
        <v>0</v>
      </c>
      <c r="AD686">
        <v>0</v>
      </c>
      <c r="AE686">
        <v>0</v>
      </c>
      <c r="AF686">
        <v>0</v>
      </c>
      <c r="AG686">
        <v>0</v>
      </c>
      <c r="AH686">
        <v>0</v>
      </c>
      <c r="AI686">
        <v>0</v>
      </c>
      <c r="AJ686">
        <v>0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19.940000000000001</v>
      </c>
      <c r="AR686">
        <v>0</v>
      </c>
      <c r="AS686">
        <v>0</v>
      </c>
      <c r="AT686">
        <v>0</v>
      </c>
      <c r="AU686">
        <v>0</v>
      </c>
      <c r="AV686">
        <v>0</v>
      </c>
      <c r="AW686">
        <v>0</v>
      </c>
      <c r="AX686">
        <v>0</v>
      </c>
      <c r="AY686">
        <v>0</v>
      </c>
      <c r="AZ686">
        <v>0</v>
      </c>
      <c r="BA686">
        <v>0</v>
      </c>
      <c r="BB686">
        <v>0</v>
      </c>
      <c r="BC686">
        <v>0</v>
      </c>
      <c r="BD686">
        <v>0</v>
      </c>
      <c r="BE686">
        <v>0</v>
      </c>
      <c r="BF686">
        <v>0</v>
      </c>
      <c r="BG686">
        <v>0</v>
      </c>
      <c r="BH686">
        <v>1</v>
      </c>
      <c r="BI686">
        <v>1</v>
      </c>
      <c r="BJ686">
        <v>1.1000000000000001</v>
      </c>
      <c r="BK686">
        <v>2</v>
      </c>
      <c r="BL686">
        <v>59.42</v>
      </c>
      <c r="BM686">
        <v>8.91</v>
      </c>
      <c r="BN686">
        <v>68.33</v>
      </c>
      <c r="BO686">
        <v>68.33</v>
      </c>
      <c r="BQ686" t="s">
        <v>1435</v>
      </c>
      <c r="BR686" t="s">
        <v>82</v>
      </c>
      <c r="BS686" s="3">
        <v>45996</v>
      </c>
      <c r="BT686" s="4">
        <v>0.36249999999999999</v>
      </c>
      <c r="BU686" t="s">
        <v>1436</v>
      </c>
      <c r="BV686" t="s">
        <v>84</v>
      </c>
      <c r="BY686">
        <v>5510</v>
      </c>
      <c r="CA686" t="s">
        <v>182</v>
      </c>
      <c r="CC686" t="s">
        <v>177</v>
      </c>
      <c r="CD686">
        <v>2094</v>
      </c>
      <c r="CE686" t="s">
        <v>86</v>
      </c>
      <c r="CF686" s="3">
        <v>45996</v>
      </c>
      <c r="CI686">
        <v>1</v>
      </c>
      <c r="CJ686">
        <v>1</v>
      </c>
      <c r="CK686">
        <v>22</v>
      </c>
      <c r="CL686" t="s">
        <v>87</v>
      </c>
    </row>
    <row r="687" spans="1:90" x14ac:dyDescent="0.3">
      <c r="A687" t="s">
        <v>72</v>
      </c>
      <c r="B687" t="s">
        <v>73</v>
      </c>
      <c r="C687" t="s">
        <v>74</v>
      </c>
      <c r="E687" t="str">
        <f>"080069680864"</f>
        <v>080069680864</v>
      </c>
      <c r="F687" s="3">
        <v>45995</v>
      </c>
      <c r="G687">
        <v>202609</v>
      </c>
      <c r="H687" t="s">
        <v>75</v>
      </c>
      <c r="I687" t="s">
        <v>76</v>
      </c>
      <c r="J687" t="s">
        <v>77</v>
      </c>
      <c r="K687" t="s">
        <v>78</v>
      </c>
      <c r="L687" t="s">
        <v>75</v>
      </c>
      <c r="M687" t="s">
        <v>76</v>
      </c>
      <c r="N687" t="s">
        <v>88</v>
      </c>
      <c r="O687" t="s">
        <v>89</v>
      </c>
      <c r="P687" t="str">
        <f>"4170071989                    "</f>
        <v xml:space="preserve">4170071989                    </v>
      </c>
      <c r="Q687">
        <v>0</v>
      </c>
      <c r="R687">
        <v>0</v>
      </c>
      <c r="S687">
        <v>0</v>
      </c>
      <c r="T687">
        <v>0</v>
      </c>
      <c r="U687">
        <v>0</v>
      </c>
      <c r="V687">
        <v>0</v>
      </c>
      <c r="W687">
        <v>0</v>
      </c>
      <c r="X687">
        <v>0</v>
      </c>
      <c r="Y687">
        <v>0</v>
      </c>
      <c r="Z687">
        <v>0</v>
      </c>
      <c r="AA687">
        <v>0</v>
      </c>
      <c r="AB687">
        <v>0</v>
      </c>
      <c r="AC687">
        <v>0</v>
      </c>
      <c r="AD687">
        <v>0</v>
      </c>
      <c r="AE687">
        <v>0</v>
      </c>
      <c r="AF687">
        <v>0</v>
      </c>
      <c r="AG687">
        <v>0</v>
      </c>
      <c r="AH687">
        <v>0</v>
      </c>
      <c r="AI687">
        <v>0</v>
      </c>
      <c r="AJ687">
        <v>0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19.940000000000001</v>
      </c>
      <c r="AR687">
        <v>0</v>
      </c>
      <c r="AS687">
        <v>0</v>
      </c>
      <c r="AT687">
        <v>0</v>
      </c>
      <c r="AU687">
        <v>0</v>
      </c>
      <c r="AV687">
        <v>0</v>
      </c>
      <c r="AW687">
        <v>0</v>
      </c>
      <c r="AX687">
        <v>0</v>
      </c>
      <c r="AY687">
        <v>0</v>
      </c>
      <c r="AZ687">
        <v>0</v>
      </c>
      <c r="BA687">
        <v>0</v>
      </c>
      <c r="BB687">
        <v>0</v>
      </c>
      <c r="BC687">
        <v>0</v>
      </c>
      <c r="BD687">
        <v>0</v>
      </c>
      <c r="BE687">
        <v>0</v>
      </c>
      <c r="BF687">
        <v>0</v>
      </c>
      <c r="BG687">
        <v>0</v>
      </c>
      <c r="BH687">
        <v>1</v>
      </c>
      <c r="BI687">
        <v>2.8</v>
      </c>
      <c r="BJ687">
        <v>1</v>
      </c>
      <c r="BK687">
        <v>3</v>
      </c>
      <c r="BL687">
        <v>59.42</v>
      </c>
      <c r="BM687">
        <v>8.91</v>
      </c>
      <c r="BN687">
        <v>68.33</v>
      </c>
      <c r="BO687">
        <v>68.33</v>
      </c>
      <c r="BQ687" t="s">
        <v>90</v>
      </c>
      <c r="BR687" t="s">
        <v>82</v>
      </c>
      <c r="BS687" s="3">
        <v>45996</v>
      </c>
      <c r="BT687" s="4">
        <v>0.2986111111111111</v>
      </c>
      <c r="BU687" t="s">
        <v>1288</v>
      </c>
      <c r="BV687" t="s">
        <v>84</v>
      </c>
      <c r="BY687">
        <v>4779.8100000000004</v>
      </c>
      <c r="CA687" t="s">
        <v>92</v>
      </c>
      <c r="CC687" t="s">
        <v>76</v>
      </c>
      <c r="CD687">
        <v>1600</v>
      </c>
      <c r="CE687" t="s">
        <v>86</v>
      </c>
      <c r="CF687" s="3">
        <v>45997</v>
      </c>
      <c r="CI687">
        <v>1</v>
      </c>
      <c r="CJ687">
        <v>1</v>
      </c>
      <c r="CK687">
        <v>22</v>
      </c>
      <c r="CL687" t="s">
        <v>87</v>
      </c>
    </row>
    <row r="688" spans="1:90" x14ac:dyDescent="0.3">
      <c r="A688" t="s">
        <v>72</v>
      </c>
      <c r="B688" t="s">
        <v>73</v>
      </c>
      <c r="C688" t="s">
        <v>74</v>
      </c>
      <c r="E688" t="str">
        <f>"080069680902"</f>
        <v>080069680902</v>
      </c>
      <c r="F688" s="3">
        <v>45995</v>
      </c>
      <c r="G688">
        <v>202609</v>
      </c>
      <c r="H688" t="s">
        <v>75</v>
      </c>
      <c r="I688" t="s">
        <v>76</v>
      </c>
      <c r="J688" t="s">
        <v>77</v>
      </c>
      <c r="K688" t="s">
        <v>78</v>
      </c>
      <c r="L688" t="s">
        <v>176</v>
      </c>
      <c r="M688" t="s">
        <v>177</v>
      </c>
      <c r="N688" t="s">
        <v>178</v>
      </c>
      <c r="O688" t="s">
        <v>340</v>
      </c>
      <c r="P688" t="str">
        <f>"4170071924                    "</f>
        <v xml:space="preserve">4170071924                    </v>
      </c>
      <c r="Q688">
        <v>0</v>
      </c>
      <c r="R688">
        <v>0</v>
      </c>
      <c r="S688">
        <v>0</v>
      </c>
      <c r="T688">
        <v>0</v>
      </c>
      <c r="U688">
        <v>0</v>
      </c>
      <c r="V688">
        <v>0</v>
      </c>
      <c r="W688">
        <v>0</v>
      </c>
      <c r="X688">
        <v>0</v>
      </c>
      <c r="Y688">
        <v>0</v>
      </c>
      <c r="Z688">
        <v>0</v>
      </c>
      <c r="AA688">
        <v>0</v>
      </c>
      <c r="AB688">
        <v>0</v>
      </c>
      <c r="AC688">
        <v>0</v>
      </c>
      <c r="AD688">
        <v>0</v>
      </c>
      <c r="AE688">
        <v>0</v>
      </c>
      <c r="AF688">
        <v>0</v>
      </c>
      <c r="AG688">
        <v>0</v>
      </c>
      <c r="AH688">
        <v>0</v>
      </c>
      <c r="AI688">
        <v>0</v>
      </c>
      <c r="AJ688">
        <v>0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19.940000000000001</v>
      </c>
      <c r="AR688">
        <v>0</v>
      </c>
      <c r="AS688">
        <v>0</v>
      </c>
      <c r="AT688">
        <v>0</v>
      </c>
      <c r="AU688">
        <v>0</v>
      </c>
      <c r="AV688">
        <v>0</v>
      </c>
      <c r="AW688">
        <v>0</v>
      </c>
      <c r="AX688">
        <v>0</v>
      </c>
      <c r="AY688">
        <v>0</v>
      </c>
      <c r="AZ688">
        <v>0</v>
      </c>
      <c r="BA688">
        <v>0</v>
      </c>
      <c r="BB688">
        <v>0</v>
      </c>
      <c r="BC688">
        <v>0</v>
      </c>
      <c r="BD688">
        <v>0</v>
      </c>
      <c r="BE688">
        <v>0</v>
      </c>
      <c r="BF688">
        <v>0</v>
      </c>
      <c r="BG688">
        <v>0</v>
      </c>
      <c r="BH688">
        <v>1</v>
      </c>
      <c r="BI688">
        <v>7.5</v>
      </c>
      <c r="BJ688">
        <v>5.2</v>
      </c>
      <c r="BK688">
        <v>8</v>
      </c>
      <c r="BL688">
        <v>59.43</v>
      </c>
      <c r="BM688">
        <v>8.91</v>
      </c>
      <c r="BN688">
        <v>68.34</v>
      </c>
      <c r="BO688">
        <v>68.34</v>
      </c>
      <c r="BQ688" t="s">
        <v>179</v>
      </c>
      <c r="BR688" t="s">
        <v>82</v>
      </c>
      <c r="BS688" s="3">
        <v>45996</v>
      </c>
      <c r="BT688" s="4">
        <v>0.38194444444444442</v>
      </c>
      <c r="BU688" t="s">
        <v>180</v>
      </c>
      <c r="BV688" t="s">
        <v>84</v>
      </c>
      <c r="BY688">
        <v>26092.71</v>
      </c>
      <c r="CA688" t="s">
        <v>182</v>
      </c>
      <c r="CC688" t="s">
        <v>177</v>
      </c>
      <c r="CD688">
        <v>2094</v>
      </c>
      <c r="CE688" t="s">
        <v>93</v>
      </c>
      <c r="CF688" s="3">
        <v>45996</v>
      </c>
      <c r="CI688">
        <v>1</v>
      </c>
      <c r="CJ688">
        <v>1</v>
      </c>
      <c r="CK688">
        <v>32</v>
      </c>
      <c r="CL688" t="s">
        <v>87</v>
      </c>
    </row>
    <row r="689" spans="1:90" x14ac:dyDescent="0.3">
      <c r="A689" t="s">
        <v>72</v>
      </c>
      <c r="B689" t="s">
        <v>73</v>
      </c>
      <c r="C689" t="s">
        <v>74</v>
      </c>
      <c r="E689" t="str">
        <f>"080069680947"</f>
        <v>080069680947</v>
      </c>
      <c r="F689" s="3">
        <v>45995</v>
      </c>
      <c r="G689">
        <v>202609</v>
      </c>
      <c r="H689" t="s">
        <v>75</v>
      </c>
      <c r="I689" t="s">
        <v>76</v>
      </c>
      <c r="J689" t="s">
        <v>77</v>
      </c>
      <c r="K689" t="s">
        <v>78</v>
      </c>
      <c r="L689" t="s">
        <v>465</v>
      </c>
      <c r="M689" t="s">
        <v>466</v>
      </c>
      <c r="N689" t="s">
        <v>1437</v>
      </c>
      <c r="O689" t="s">
        <v>340</v>
      </c>
      <c r="P689" t="str">
        <f>"4170071948                    "</f>
        <v xml:space="preserve">4170071948                    </v>
      </c>
      <c r="Q689">
        <v>0</v>
      </c>
      <c r="R689">
        <v>0</v>
      </c>
      <c r="S689">
        <v>0</v>
      </c>
      <c r="T689">
        <v>0</v>
      </c>
      <c r="U689">
        <v>0</v>
      </c>
      <c r="V689">
        <v>0</v>
      </c>
      <c r="W689">
        <v>0</v>
      </c>
      <c r="X689">
        <v>0</v>
      </c>
      <c r="Y689">
        <v>0</v>
      </c>
      <c r="Z689">
        <v>0</v>
      </c>
      <c r="AA689">
        <v>0</v>
      </c>
      <c r="AB689">
        <v>0</v>
      </c>
      <c r="AC689">
        <v>0</v>
      </c>
      <c r="AD689">
        <v>0</v>
      </c>
      <c r="AE689">
        <v>0</v>
      </c>
      <c r="AF689">
        <v>0</v>
      </c>
      <c r="AG689">
        <v>0</v>
      </c>
      <c r="AH689">
        <v>0</v>
      </c>
      <c r="AI689">
        <v>0</v>
      </c>
      <c r="AJ689">
        <v>0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22.18</v>
      </c>
      <c r="AR689">
        <v>0</v>
      </c>
      <c r="AS689">
        <v>0</v>
      </c>
      <c r="AT689">
        <v>0</v>
      </c>
      <c r="AU689">
        <v>0</v>
      </c>
      <c r="AV689">
        <v>0</v>
      </c>
      <c r="AW689">
        <v>0</v>
      </c>
      <c r="AX689">
        <v>0</v>
      </c>
      <c r="AY689">
        <v>0</v>
      </c>
      <c r="AZ689">
        <v>0</v>
      </c>
      <c r="BA689">
        <v>0</v>
      </c>
      <c r="BB689">
        <v>0</v>
      </c>
      <c r="BC689">
        <v>0</v>
      </c>
      <c r="BD689">
        <v>0</v>
      </c>
      <c r="BE689">
        <v>0</v>
      </c>
      <c r="BF689">
        <v>0</v>
      </c>
      <c r="BG689">
        <v>0</v>
      </c>
      <c r="BH689">
        <v>1</v>
      </c>
      <c r="BI689">
        <v>5.0999999999999996</v>
      </c>
      <c r="BJ689">
        <v>8.1</v>
      </c>
      <c r="BK689">
        <v>9</v>
      </c>
      <c r="BL689">
        <v>66.099999999999994</v>
      </c>
      <c r="BM689">
        <v>9.92</v>
      </c>
      <c r="BN689">
        <v>76.02</v>
      </c>
      <c r="BO689">
        <v>76.02</v>
      </c>
      <c r="BQ689" t="s">
        <v>1438</v>
      </c>
      <c r="BR689" t="s">
        <v>82</v>
      </c>
      <c r="BS689" s="3">
        <v>46002</v>
      </c>
      <c r="BT689" s="4">
        <v>0.41666666666666669</v>
      </c>
      <c r="BU689" t="s">
        <v>1439</v>
      </c>
      <c r="BV689" t="s">
        <v>87</v>
      </c>
      <c r="BY689">
        <v>40642.239999999998</v>
      </c>
      <c r="CC689" t="s">
        <v>466</v>
      </c>
      <c r="CD689">
        <v>1428</v>
      </c>
      <c r="CE689" t="s">
        <v>93</v>
      </c>
      <c r="CF689" s="3">
        <v>46002</v>
      </c>
      <c r="CI689">
        <v>1</v>
      </c>
      <c r="CJ689">
        <v>5</v>
      </c>
      <c r="CK689">
        <v>32</v>
      </c>
      <c r="CL689" t="s">
        <v>87</v>
      </c>
    </row>
    <row r="690" spans="1:90" x14ac:dyDescent="0.3">
      <c r="A690" t="s">
        <v>72</v>
      </c>
      <c r="B690" t="s">
        <v>73</v>
      </c>
      <c r="C690" t="s">
        <v>74</v>
      </c>
      <c r="E690" t="str">
        <f>"080069681045"</f>
        <v>080069681045</v>
      </c>
      <c r="F690" s="3">
        <v>45995</v>
      </c>
      <c r="G690">
        <v>202609</v>
      </c>
      <c r="H690" t="s">
        <v>75</v>
      </c>
      <c r="I690" t="s">
        <v>76</v>
      </c>
      <c r="J690" t="s">
        <v>77</v>
      </c>
      <c r="K690" t="s">
        <v>78</v>
      </c>
      <c r="L690" t="s">
        <v>94</v>
      </c>
      <c r="M690" t="s">
        <v>95</v>
      </c>
      <c r="N690" t="s">
        <v>1440</v>
      </c>
      <c r="O690" t="s">
        <v>89</v>
      </c>
      <c r="P690" t="str">
        <f>"4170071997                    "</f>
        <v xml:space="preserve">4170071997                    </v>
      </c>
      <c r="Q690">
        <v>0</v>
      </c>
      <c r="R690">
        <v>0</v>
      </c>
      <c r="S690">
        <v>0</v>
      </c>
      <c r="T690">
        <v>0</v>
      </c>
      <c r="U690">
        <v>0</v>
      </c>
      <c r="V690">
        <v>0</v>
      </c>
      <c r="W690">
        <v>0</v>
      </c>
      <c r="X690">
        <v>0</v>
      </c>
      <c r="Y690">
        <v>0</v>
      </c>
      <c r="Z690">
        <v>0</v>
      </c>
      <c r="AA690">
        <v>0</v>
      </c>
      <c r="AB690">
        <v>0</v>
      </c>
      <c r="AC690">
        <v>0</v>
      </c>
      <c r="AD690">
        <v>0</v>
      </c>
      <c r="AE690">
        <v>0</v>
      </c>
      <c r="AF690">
        <v>0</v>
      </c>
      <c r="AG690">
        <v>0</v>
      </c>
      <c r="AH690">
        <v>0</v>
      </c>
      <c r="AI690">
        <v>0</v>
      </c>
      <c r="AJ690">
        <v>0</v>
      </c>
      <c r="AK690">
        <v>0</v>
      </c>
      <c r="AL690">
        <v>0</v>
      </c>
      <c r="AM690">
        <v>0</v>
      </c>
      <c r="AN690">
        <v>0</v>
      </c>
      <c r="AO690">
        <v>0</v>
      </c>
      <c r="AP690">
        <v>0</v>
      </c>
      <c r="AQ690">
        <v>25.52</v>
      </c>
      <c r="AR690">
        <v>0</v>
      </c>
      <c r="AS690">
        <v>0</v>
      </c>
      <c r="AT690">
        <v>0</v>
      </c>
      <c r="AU690">
        <v>0</v>
      </c>
      <c r="AV690">
        <v>0</v>
      </c>
      <c r="AW690">
        <v>0</v>
      </c>
      <c r="AX690">
        <v>0</v>
      </c>
      <c r="AY690">
        <v>0</v>
      </c>
      <c r="AZ690">
        <v>0</v>
      </c>
      <c r="BA690">
        <v>0</v>
      </c>
      <c r="BB690">
        <v>0</v>
      </c>
      <c r="BC690">
        <v>0</v>
      </c>
      <c r="BD690">
        <v>0</v>
      </c>
      <c r="BE690">
        <v>0</v>
      </c>
      <c r="BF690">
        <v>0</v>
      </c>
      <c r="BG690">
        <v>0</v>
      </c>
      <c r="BH690">
        <v>1</v>
      </c>
      <c r="BI690">
        <v>1</v>
      </c>
      <c r="BJ690">
        <v>0.2</v>
      </c>
      <c r="BK690">
        <v>1</v>
      </c>
      <c r="BL690">
        <v>76.06</v>
      </c>
      <c r="BM690">
        <v>11.41</v>
      </c>
      <c r="BN690">
        <v>87.47</v>
      </c>
      <c r="BO690">
        <v>87.47</v>
      </c>
      <c r="BQ690" t="s">
        <v>1441</v>
      </c>
      <c r="BR690" t="s">
        <v>82</v>
      </c>
      <c r="BS690" s="3">
        <v>45996</v>
      </c>
      <c r="BT690" s="4">
        <v>0.42569444444444443</v>
      </c>
      <c r="BU690" t="s">
        <v>1442</v>
      </c>
      <c r="BV690" t="s">
        <v>84</v>
      </c>
      <c r="BY690">
        <v>1200</v>
      </c>
      <c r="CA690" t="s">
        <v>929</v>
      </c>
      <c r="CC690" t="s">
        <v>95</v>
      </c>
      <c r="CD690">
        <v>3600</v>
      </c>
      <c r="CE690" t="s">
        <v>134</v>
      </c>
      <c r="CF690" s="3">
        <v>45996</v>
      </c>
      <c r="CI690">
        <v>1</v>
      </c>
      <c r="CJ690">
        <v>1</v>
      </c>
      <c r="CK690">
        <v>21</v>
      </c>
      <c r="CL690" t="s">
        <v>87</v>
      </c>
    </row>
    <row r="691" spans="1:90" x14ac:dyDescent="0.3">
      <c r="A691" t="s">
        <v>72</v>
      </c>
      <c r="B691" t="s">
        <v>73</v>
      </c>
      <c r="C691" t="s">
        <v>74</v>
      </c>
      <c r="E691" t="str">
        <f>"080069681096"</f>
        <v>080069681096</v>
      </c>
      <c r="F691" s="3">
        <v>45995</v>
      </c>
      <c r="G691">
        <v>202609</v>
      </c>
      <c r="H691" t="s">
        <v>75</v>
      </c>
      <c r="I691" t="s">
        <v>76</v>
      </c>
      <c r="J691" t="s">
        <v>77</v>
      </c>
      <c r="K691" t="s">
        <v>78</v>
      </c>
      <c r="L691" t="s">
        <v>141</v>
      </c>
      <c r="M691" t="s">
        <v>142</v>
      </c>
      <c r="N691" t="s">
        <v>486</v>
      </c>
      <c r="O691" t="s">
        <v>89</v>
      </c>
      <c r="P691" t="str">
        <f>"4170072000                    "</f>
        <v xml:space="preserve">4170072000                    </v>
      </c>
      <c r="Q691">
        <v>0</v>
      </c>
      <c r="R691">
        <v>0</v>
      </c>
      <c r="S691">
        <v>0</v>
      </c>
      <c r="T691">
        <v>0</v>
      </c>
      <c r="U691">
        <v>0</v>
      </c>
      <c r="V691">
        <v>0</v>
      </c>
      <c r="W691">
        <v>0</v>
      </c>
      <c r="X691">
        <v>0</v>
      </c>
      <c r="Y691">
        <v>0</v>
      </c>
      <c r="Z691">
        <v>0</v>
      </c>
      <c r="AA691">
        <v>0</v>
      </c>
      <c r="AB691">
        <v>0</v>
      </c>
      <c r="AC691">
        <v>0</v>
      </c>
      <c r="AD691">
        <v>0</v>
      </c>
      <c r="AE691">
        <v>0</v>
      </c>
      <c r="AF691">
        <v>0</v>
      </c>
      <c r="AG691">
        <v>0</v>
      </c>
      <c r="AH691">
        <v>0</v>
      </c>
      <c r="AI691">
        <v>0</v>
      </c>
      <c r="AJ691">
        <v>0</v>
      </c>
      <c r="AK691">
        <v>0</v>
      </c>
      <c r="AL691">
        <v>0</v>
      </c>
      <c r="AM691">
        <v>0</v>
      </c>
      <c r="AN691">
        <v>0</v>
      </c>
      <c r="AO691">
        <v>0</v>
      </c>
      <c r="AP691">
        <v>0</v>
      </c>
      <c r="AQ691">
        <v>25.52</v>
      </c>
      <c r="AR691">
        <v>0</v>
      </c>
      <c r="AS691">
        <v>0</v>
      </c>
      <c r="AT691">
        <v>0</v>
      </c>
      <c r="AU691">
        <v>0</v>
      </c>
      <c r="AV691">
        <v>0</v>
      </c>
      <c r="AW691">
        <v>0</v>
      </c>
      <c r="AX691">
        <v>0</v>
      </c>
      <c r="AY691">
        <v>0</v>
      </c>
      <c r="AZ691">
        <v>0</v>
      </c>
      <c r="BA691">
        <v>0</v>
      </c>
      <c r="BB691">
        <v>0</v>
      </c>
      <c r="BC691">
        <v>0</v>
      </c>
      <c r="BD691">
        <v>0</v>
      </c>
      <c r="BE691">
        <v>0</v>
      </c>
      <c r="BF691">
        <v>0</v>
      </c>
      <c r="BG691">
        <v>0</v>
      </c>
      <c r="BH691">
        <v>1</v>
      </c>
      <c r="BI691">
        <v>1</v>
      </c>
      <c r="BJ691">
        <v>0.2</v>
      </c>
      <c r="BK691">
        <v>1</v>
      </c>
      <c r="BL691">
        <v>76.06</v>
      </c>
      <c r="BM691">
        <v>11.41</v>
      </c>
      <c r="BN691">
        <v>87.47</v>
      </c>
      <c r="BO691">
        <v>87.47</v>
      </c>
      <c r="BQ691" t="s">
        <v>487</v>
      </c>
      <c r="BR691" t="s">
        <v>82</v>
      </c>
      <c r="BS691" t="s">
        <v>500</v>
      </c>
      <c r="BY691">
        <v>1200</v>
      </c>
      <c r="CC691" t="s">
        <v>142</v>
      </c>
      <c r="CD691">
        <v>6012</v>
      </c>
      <c r="CE691" t="s">
        <v>134</v>
      </c>
      <c r="CI691">
        <v>1</v>
      </c>
      <c r="CJ691" t="s">
        <v>500</v>
      </c>
      <c r="CK691">
        <v>21</v>
      </c>
      <c r="CL691" t="s">
        <v>87</v>
      </c>
    </row>
    <row r="692" spans="1:90" x14ac:dyDescent="0.3">
      <c r="A692" t="s">
        <v>72</v>
      </c>
      <c r="B692" t="s">
        <v>73</v>
      </c>
      <c r="C692" t="s">
        <v>74</v>
      </c>
      <c r="E692" t="str">
        <f>"080069681135"</f>
        <v>080069681135</v>
      </c>
      <c r="F692" s="3">
        <v>45995</v>
      </c>
      <c r="G692">
        <v>202609</v>
      </c>
      <c r="H692" t="s">
        <v>75</v>
      </c>
      <c r="I692" t="s">
        <v>76</v>
      </c>
      <c r="J692" t="s">
        <v>77</v>
      </c>
      <c r="K692" t="s">
        <v>78</v>
      </c>
      <c r="L692" t="s">
        <v>141</v>
      </c>
      <c r="M692" t="s">
        <v>142</v>
      </c>
      <c r="N692" t="s">
        <v>486</v>
      </c>
      <c r="O692" t="s">
        <v>89</v>
      </c>
      <c r="P692" t="str">
        <f>"4170071999                    "</f>
        <v xml:space="preserve">4170071999                    </v>
      </c>
      <c r="Q692">
        <v>0</v>
      </c>
      <c r="R692">
        <v>0</v>
      </c>
      <c r="S692">
        <v>0</v>
      </c>
      <c r="T692">
        <v>0</v>
      </c>
      <c r="U692">
        <v>0</v>
      </c>
      <c r="V692">
        <v>0</v>
      </c>
      <c r="W692">
        <v>0</v>
      </c>
      <c r="X692">
        <v>0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>
        <v>0</v>
      </c>
      <c r="AG692">
        <v>0</v>
      </c>
      <c r="AH692">
        <v>0</v>
      </c>
      <c r="AI692">
        <v>0</v>
      </c>
      <c r="AJ692">
        <v>0</v>
      </c>
      <c r="AK692">
        <v>0</v>
      </c>
      <c r="AL692">
        <v>0</v>
      </c>
      <c r="AM692">
        <v>0</v>
      </c>
      <c r="AN692">
        <v>0</v>
      </c>
      <c r="AO692">
        <v>0</v>
      </c>
      <c r="AP692">
        <v>0</v>
      </c>
      <c r="AQ692">
        <v>25.52</v>
      </c>
      <c r="AR692">
        <v>0</v>
      </c>
      <c r="AS692">
        <v>0</v>
      </c>
      <c r="AT692">
        <v>0</v>
      </c>
      <c r="AU692">
        <v>0</v>
      </c>
      <c r="AV692">
        <v>0</v>
      </c>
      <c r="AW692">
        <v>0</v>
      </c>
      <c r="AX692">
        <v>0</v>
      </c>
      <c r="AY692">
        <v>0</v>
      </c>
      <c r="AZ692">
        <v>0</v>
      </c>
      <c r="BA692">
        <v>0</v>
      </c>
      <c r="BB692">
        <v>0</v>
      </c>
      <c r="BC692">
        <v>0</v>
      </c>
      <c r="BD692">
        <v>0</v>
      </c>
      <c r="BE692">
        <v>0</v>
      </c>
      <c r="BF692">
        <v>0</v>
      </c>
      <c r="BG692">
        <v>0</v>
      </c>
      <c r="BH692">
        <v>1</v>
      </c>
      <c r="BI692">
        <v>1</v>
      </c>
      <c r="BJ692">
        <v>0.2</v>
      </c>
      <c r="BK692">
        <v>1</v>
      </c>
      <c r="BL692">
        <v>76.06</v>
      </c>
      <c r="BM692">
        <v>11.41</v>
      </c>
      <c r="BN692">
        <v>87.47</v>
      </c>
      <c r="BO692">
        <v>87.47</v>
      </c>
      <c r="BQ692" t="s">
        <v>487</v>
      </c>
      <c r="BR692" t="s">
        <v>82</v>
      </c>
      <c r="BS692" t="s">
        <v>500</v>
      </c>
      <c r="BY692">
        <v>1200</v>
      </c>
      <c r="CC692" t="s">
        <v>142</v>
      </c>
      <c r="CD692">
        <v>6012</v>
      </c>
      <c r="CE692" t="s">
        <v>134</v>
      </c>
      <c r="CI692">
        <v>1</v>
      </c>
      <c r="CJ692" t="s">
        <v>500</v>
      </c>
      <c r="CK692">
        <v>21</v>
      </c>
      <c r="CL692" t="s">
        <v>87</v>
      </c>
    </row>
    <row r="693" spans="1:90" x14ac:dyDescent="0.3">
      <c r="A693" t="s">
        <v>72</v>
      </c>
      <c r="B693" t="s">
        <v>73</v>
      </c>
      <c r="C693" t="s">
        <v>74</v>
      </c>
      <c r="E693" t="str">
        <f>"080069681184"</f>
        <v>080069681184</v>
      </c>
      <c r="F693" s="3">
        <v>45995</v>
      </c>
      <c r="G693">
        <v>202609</v>
      </c>
      <c r="H693" t="s">
        <v>75</v>
      </c>
      <c r="I693" t="s">
        <v>76</v>
      </c>
      <c r="J693" t="s">
        <v>77</v>
      </c>
      <c r="K693" t="s">
        <v>78</v>
      </c>
      <c r="L693" t="s">
        <v>128</v>
      </c>
      <c r="M693" t="s">
        <v>129</v>
      </c>
      <c r="N693" t="s">
        <v>1443</v>
      </c>
      <c r="O693" t="s">
        <v>89</v>
      </c>
      <c r="P693" t="str">
        <f>"4170072021                    "</f>
        <v xml:space="preserve">4170072021                    </v>
      </c>
      <c r="Q693">
        <v>0</v>
      </c>
      <c r="R693">
        <v>0</v>
      </c>
      <c r="S693">
        <v>0</v>
      </c>
      <c r="T693">
        <v>0</v>
      </c>
      <c r="U693">
        <v>0</v>
      </c>
      <c r="V693">
        <v>0</v>
      </c>
      <c r="W693">
        <v>0</v>
      </c>
      <c r="X693">
        <v>0</v>
      </c>
      <c r="Y693">
        <v>0</v>
      </c>
      <c r="Z693">
        <v>0</v>
      </c>
      <c r="AA693">
        <v>0</v>
      </c>
      <c r="AB693">
        <v>0</v>
      </c>
      <c r="AC693">
        <v>0</v>
      </c>
      <c r="AD693">
        <v>0</v>
      </c>
      <c r="AE693">
        <v>0</v>
      </c>
      <c r="AF693">
        <v>0</v>
      </c>
      <c r="AG693">
        <v>0</v>
      </c>
      <c r="AH693">
        <v>0</v>
      </c>
      <c r="AI693">
        <v>0</v>
      </c>
      <c r="AJ693">
        <v>0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204.11</v>
      </c>
      <c r="AR693">
        <v>0</v>
      </c>
      <c r="AS693">
        <v>0</v>
      </c>
      <c r="AT693">
        <v>0</v>
      </c>
      <c r="AU693">
        <v>0</v>
      </c>
      <c r="AV693">
        <v>0</v>
      </c>
      <c r="AW693">
        <v>0</v>
      </c>
      <c r="AX693">
        <v>0</v>
      </c>
      <c r="AY693">
        <v>0</v>
      </c>
      <c r="AZ693">
        <v>0</v>
      </c>
      <c r="BA693">
        <v>0</v>
      </c>
      <c r="BB693">
        <v>0</v>
      </c>
      <c r="BC693">
        <v>0</v>
      </c>
      <c r="BD693">
        <v>0</v>
      </c>
      <c r="BE693">
        <v>0</v>
      </c>
      <c r="BF693">
        <v>0</v>
      </c>
      <c r="BG693">
        <v>0</v>
      </c>
      <c r="BH693">
        <v>1</v>
      </c>
      <c r="BI693">
        <v>16</v>
      </c>
      <c r="BJ693">
        <v>7.1</v>
      </c>
      <c r="BK693">
        <v>16</v>
      </c>
      <c r="BL693">
        <v>608.29</v>
      </c>
      <c r="BM693">
        <v>91.24</v>
      </c>
      <c r="BN693">
        <v>699.53</v>
      </c>
      <c r="BO693">
        <v>699.53</v>
      </c>
      <c r="BQ693" t="s">
        <v>1444</v>
      </c>
      <c r="BR693" t="s">
        <v>82</v>
      </c>
      <c r="BS693" s="3">
        <v>45996</v>
      </c>
      <c r="BT693" s="4">
        <v>0.55277777777777781</v>
      </c>
      <c r="BU693" t="s">
        <v>1445</v>
      </c>
      <c r="BV693" t="s">
        <v>87</v>
      </c>
      <c r="BW693" t="s">
        <v>186</v>
      </c>
      <c r="BX693" t="s">
        <v>1293</v>
      </c>
      <c r="BY693">
        <v>35340</v>
      </c>
      <c r="CA693" t="s">
        <v>1446</v>
      </c>
      <c r="CC693" t="s">
        <v>129</v>
      </c>
      <c r="CD693">
        <v>5200</v>
      </c>
      <c r="CE693" t="s">
        <v>546</v>
      </c>
      <c r="CF693" s="3">
        <v>45999</v>
      </c>
      <c r="CI693">
        <v>1</v>
      </c>
      <c r="CJ693">
        <v>1</v>
      </c>
      <c r="CK693">
        <v>21</v>
      </c>
      <c r="CL693" t="s">
        <v>87</v>
      </c>
    </row>
    <row r="694" spans="1:90" x14ac:dyDescent="0.3">
      <c r="A694" t="s">
        <v>72</v>
      </c>
      <c r="B694" t="s">
        <v>73</v>
      </c>
      <c r="C694" t="s">
        <v>74</v>
      </c>
      <c r="E694" t="str">
        <f>"080069681259"</f>
        <v>080069681259</v>
      </c>
      <c r="F694" s="3">
        <v>45995</v>
      </c>
      <c r="G694">
        <v>202609</v>
      </c>
      <c r="H694" t="s">
        <v>75</v>
      </c>
      <c r="I694" t="s">
        <v>76</v>
      </c>
      <c r="J694" t="s">
        <v>77</v>
      </c>
      <c r="K694" t="s">
        <v>78</v>
      </c>
      <c r="L694" t="s">
        <v>120</v>
      </c>
      <c r="M694" t="s">
        <v>121</v>
      </c>
      <c r="N694" t="s">
        <v>337</v>
      </c>
      <c r="O694" t="s">
        <v>80</v>
      </c>
      <c r="P694" t="str">
        <f>"4170072025                    "</f>
        <v xml:space="preserve">4170072025                    </v>
      </c>
      <c r="Q694">
        <v>0</v>
      </c>
      <c r="R694">
        <v>0</v>
      </c>
      <c r="S694">
        <v>0</v>
      </c>
      <c r="T694">
        <v>0</v>
      </c>
      <c r="U694">
        <v>0</v>
      </c>
      <c r="V694">
        <v>0</v>
      </c>
      <c r="W694">
        <v>0</v>
      </c>
      <c r="X694">
        <v>0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0</v>
      </c>
      <c r="AE694">
        <v>0</v>
      </c>
      <c r="AF694">
        <v>0</v>
      </c>
      <c r="AG694">
        <v>0</v>
      </c>
      <c r="AH694">
        <v>0</v>
      </c>
      <c r="AI694">
        <v>0</v>
      </c>
      <c r="AJ694">
        <v>0</v>
      </c>
      <c r="AK694">
        <v>0</v>
      </c>
      <c r="AL694">
        <v>0</v>
      </c>
      <c r="AM694">
        <v>0</v>
      </c>
      <c r="AN694">
        <v>0</v>
      </c>
      <c r="AO694">
        <v>0</v>
      </c>
      <c r="AP694">
        <v>0</v>
      </c>
      <c r="AQ694">
        <v>88.12</v>
      </c>
      <c r="AR694">
        <v>0</v>
      </c>
      <c r="AS694">
        <v>0</v>
      </c>
      <c r="AT694">
        <v>0</v>
      </c>
      <c r="AU694">
        <v>0</v>
      </c>
      <c r="AV694">
        <v>0</v>
      </c>
      <c r="AW694">
        <v>0</v>
      </c>
      <c r="AX694">
        <v>0</v>
      </c>
      <c r="AY694">
        <v>0</v>
      </c>
      <c r="AZ694">
        <v>0</v>
      </c>
      <c r="BA694">
        <v>0</v>
      </c>
      <c r="BB694">
        <v>0</v>
      </c>
      <c r="BC694">
        <v>0</v>
      </c>
      <c r="BD694">
        <v>0</v>
      </c>
      <c r="BE694">
        <v>0</v>
      </c>
      <c r="BF694">
        <v>0</v>
      </c>
      <c r="BG694">
        <v>0</v>
      </c>
      <c r="BH694">
        <v>2</v>
      </c>
      <c r="BI694">
        <v>33.4</v>
      </c>
      <c r="BJ694">
        <v>31.6</v>
      </c>
      <c r="BK694">
        <v>34</v>
      </c>
      <c r="BL694">
        <v>268.72000000000003</v>
      </c>
      <c r="BM694">
        <v>40.31</v>
      </c>
      <c r="BN694">
        <v>309.02999999999997</v>
      </c>
      <c r="BO694">
        <v>309.02999999999997</v>
      </c>
      <c r="BQ694" t="s">
        <v>338</v>
      </c>
      <c r="BR694" t="s">
        <v>82</v>
      </c>
      <c r="BS694" s="3">
        <v>45999</v>
      </c>
      <c r="BT694" s="4">
        <v>0.40902777777777777</v>
      </c>
      <c r="BU694" t="s">
        <v>1447</v>
      </c>
      <c r="BV694" t="s">
        <v>84</v>
      </c>
      <c r="BY694">
        <v>157814.75</v>
      </c>
      <c r="CA694" t="s">
        <v>1448</v>
      </c>
      <c r="CC694" t="s">
        <v>121</v>
      </c>
      <c r="CD694">
        <v>6230</v>
      </c>
      <c r="CE694" t="s">
        <v>86</v>
      </c>
      <c r="CF694" s="3">
        <v>45999</v>
      </c>
      <c r="CI694">
        <v>3</v>
      </c>
      <c r="CJ694">
        <v>2</v>
      </c>
      <c r="CK694">
        <v>41</v>
      </c>
      <c r="CL694" t="s">
        <v>87</v>
      </c>
    </row>
    <row r="695" spans="1:90" x14ac:dyDescent="0.3">
      <c r="A695" t="s">
        <v>72</v>
      </c>
      <c r="B695" t="s">
        <v>73</v>
      </c>
      <c r="C695" t="s">
        <v>74</v>
      </c>
      <c r="E695" t="str">
        <f>"080069681308"</f>
        <v>080069681308</v>
      </c>
      <c r="F695" s="3">
        <v>45995</v>
      </c>
      <c r="G695">
        <v>202609</v>
      </c>
      <c r="H695" t="s">
        <v>75</v>
      </c>
      <c r="I695" t="s">
        <v>76</v>
      </c>
      <c r="J695" t="s">
        <v>77</v>
      </c>
      <c r="K695" t="s">
        <v>78</v>
      </c>
      <c r="L695" t="s">
        <v>75</v>
      </c>
      <c r="M695" t="s">
        <v>76</v>
      </c>
      <c r="N695" t="s">
        <v>328</v>
      </c>
      <c r="O695" t="s">
        <v>89</v>
      </c>
      <c r="P695" t="str">
        <f>"4170071966                    "</f>
        <v xml:space="preserve">4170071966                    </v>
      </c>
      <c r="Q695">
        <v>0</v>
      </c>
      <c r="R695">
        <v>0</v>
      </c>
      <c r="S695">
        <v>0</v>
      </c>
      <c r="T695">
        <v>0</v>
      </c>
      <c r="U695">
        <v>0</v>
      </c>
      <c r="V695">
        <v>0</v>
      </c>
      <c r="W695">
        <v>0</v>
      </c>
      <c r="X695">
        <v>0</v>
      </c>
      <c r="Y695">
        <v>0</v>
      </c>
      <c r="Z695">
        <v>0</v>
      </c>
      <c r="AA695">
        <v>0</v>
      </c>
      <c r="AB695">
        <v>0</v>
      </c>
      <c r="AC695">
        <v>0</v>
      </c>
      <c r="AD695">
        <v>0</v>
      </c>
      <c r="AE695">
        <v>0</v>
      </c>
      <c r="AF695">
        <v>0</v>
      </c>
      <c r="AG695">
        <v>0</v>
      </c>
      <c r="AH695">
        <v>0</v>
      </c>
      <c r="AI695">
        <v>0</v>
      </c>
      <c r="AJ695">
        <v>0</v>
      </c>
      <c r="AK695">
        <v>0</v>
      </c>
      <c r="AL695">
        <v>0</v>
      </c>
      <c r="AM695">
        <v>0</v>
      </c>
      <c r="AN695">
        <v>0</v>
      </c>
      <c r="AO695">
        <v>0</v>
      </c>
      <c r="AP695">
        <v>0</v>
      </c>
      <c r="AQ695">
        <v>19.940000000000001</v>
      </c>
      <c r="AR695">
        <v>0</v>
      </c>
      <c r="AS695">
        <v>0</v>
      </c>
      <c r="AT695">
        <v>0</v>
      </c>
      <c r="AU695">
        <v>0</v>
      </c>
      <c r="AV695">
        <v>0</v>
      </c>
      <c r="AW695">
        <v>0</v>
      </c>
      <c r="AX695">
        <v>0</v>
      </c>
      <c r="AY695">
        <v>0</v>
      </c>
      <c r="AZ695">
        <v>0</v>
      </c>
      <c r="BA695">
        <v>0</v>
      </c>
      <c r="BB695">
        <v>0</v>
      </c>
      <c r="BC695">
        <v>0</v>
      </c>
      <c r="BD695">
        <v>0</v>
      </c>
      <c r="BE695">
        <v>0</v>
      </c>
      <c r="BF695">
        <v>0</v>
      </c>
      <c r="BG695">
        <v>0</v>
      </c>
      <c r="BH695">
        <v>1</v>
      </c>
      <c r="BI695">
        <v>2</v>
      </c>
      <c r="BJ695">
        <v>1.9</v>
      </c>
      <c r="BK695">
        <v>2</v>
      </c>
      <c r="BL695">
        <v>59.42</v>
      </c>
      <c r="BM695">
        <v>8.91</v>
      </c>
      <c r="BN695">
        <v>68.33</v>
      </c>
      <c r="BO695">
        <v>68.33</v>
      </c>
      <c r="BQ695" t="s">
        <v>329</v>
      </c>
      <c r="BR695" t="s">
        <v>82</v>
      </c>
      <c r="BS695" s="3">
        <v>45996</v>
      </c>
      <c r="BT695" s="4">
        <v>0.37916666666666665</v>
      </c>
      <c r="BU695" t="s">
        <v>1449</v>
      </c>
      <c r="BV695" t="s">
        <v>84</v>
      </c>
      <c r="BY695">
        <v>9600</v>
      </c>
      <c r="CA695" t="s">
        <v>331</v>
      </c>
      <c r="CC695" t="s">
        <v>76</v>
      </c>
      <c r="CD695">
        <v>1645</v>
      </c>
      <c r="CE695" t="s">
        <v>86</v>
      </c>
      <c r="CF695" s="3">
        <v>45996</v>
      </c>
      <c r="CI695">
        <v>1</v>
      </c>
      <c r="CJ695">
        <v>1</v>
      </c>
      <c r="CK695">
        <v>22</v>
      </c>
      <c r="CL695" t="s">
        <v>87</v>
      </c>
    </row>
    <row r="696" spans="1:90" x14ac:dyDescent="0.3">
      <c r="A696" t="s">
        <v>72</v>
      </c>
      <c r="B696" t="s">
        <v>73</v>
      </c>
      <c r="C696" t="s">
        <v>74</v>
      </c>
      <c r="E696" t="str">
        <f>"080069681351"</f>
        <v>080069681351</v>
      </c>
      <c r="F696" s="3">
        <v>45995</v>
      </c>
      <c r="G696">
        <v>202609</v>
      </c>
      <c r="H696" t="s">
        <v>75</v>
      </c>
      <c r="I696" t="s">
        <v>76</v>
      </c>
      <c r="J696" t="s">
        <v>77</v>
      </c>
      <c r="K696" t="s">
        <v>78</v>
      </c>
      <c r="L696" t="s">
        <v>100</v>
      </c>
      <c r="M696" t="s">
        <v>101</v>
      </c>
      <c r="N696" t="s">
        <v>1367</v>
      </c>
      <c r="O696" t="s">
        <v>89</v>
      </c>
      <c r="P696" t="str">
        <f>"4170071995                    "</f>
        <v xml:space="preserve">4170071995                    </v>
      </c>
      <c r="Q696">
        <v>0</v>
      </c>
      <c r="R696">
        <v>0</v>
      </c>
      <c r="S696">
        <v>0</v>
      </c>
      <c r="T696">
        <v>0</v>
      </c>
      <c r="U696">
        <v>0</v>
      </c>
      <c r="V696">
        <v>0</v>
      </c>
      <c r="W696">
        <v>0</v>
      </c>
      <c r="X696">
        <v>0</v>
      </c>
      <c r="Y696">
        <v>0</v>
      </c>
      <c r="Z696">
        <v>0</v>
      </c>
      <c r="AA696">
        <v>0</v>
      </c>
      <c r="AB696">
        <v>0</v>
      </c>
      <c r="AC696">
        <v>0</v>
      </c>
      <c r="AD696">
        <v>0</v>
      </c>
      <c r="AE696">
        <v>0</v>
      </c>
      <c r="AF696">
        <v>0</v>
      </c>
      <c r="AG696">
        <v>0</v>
      </c>
      <c r="AH696">
        <v>0</v>
      </c>
      <c r="AI696">
        <v>0</v>
      </c>
      <c r="AJ696">
        <v>0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25.52</v>
      </c>
      <c r="AR696">
        <v>0</v>
      </c>
      <c r="AS696">
        <v>0</v>
      </c>
      <c r="AT696">
        <v>0</v>
      </c>
      <c r="AU696">
        <v>0</v>
      </c>
      <c r="AV696">
        <v>0</v>
      </c>
      <c r="AW696">
        <v>0</v>
      </c>
      <c r="AX696">
        <v>0</v>
      </c>
      <c r="AY696">
        <v>0</v>
      </c>
      <c r="AZ696">
        <v>0</v>
      </c>
      <c r="BA696">
        <v>0</v>
      </c>
      <c r="BB696">
        <v>0</v>
      </c>
      <c r="BC696">
        <v>0</v>
      </c>
      <c r="BD696">
        <v>0</v>
      </c>
      <c r="BE696">
        <v>0</v>
      </c>
      <c r="BF696">
        <v>0</v>
      </c>
      <c r="BG696">
        <v>0</v>
      </c>
      <c r="BH696">
        <v>1</v>
      </c>
      <c r="BI696">
        <v>1</v>
      </c>
      <c r="BJ696">
        <v>1.1000000000000001</v>
      </c>
      <c r="BK696">
        <v>1.5</v>
      </c>
      <c r="BL696">
        <v>76.06</v>
      </c>
      <c r="BM696">
        <v>11.41</v>
      </c>
      <c r="BN696">
        <v>87.47</v>
      </c>
      <c r="BO696">
        <v>87.47</v>
      </c>
      <c r="BQ696" t="s">
        <v>1368</v>
      </c>
      <c r="BR696" t="s">
        <v>82</v>
      </c>
      <c r="BS696" s="3">
        <v>45996</v>
      </c>
      <c r="BT696" s="4">
        <v>0.40833333333333333</v>
      </c>
      <c r="BU696" t="s">
        <v>322</v>
      </c>
      <c r="BV696" t="s">
        <v>84</v>
      </c>
      <c r="BY696">
        <v>5510</v>
      </c>
      <c r="CA696" t="s">
        <v>323</v>
      </c>
      <c r="CC696" t="s">
        <v>101</v>
      </c>
      <c r="CD696">
        <v>4001</v>
      </c>
      <c r="CE696" t="s">
        <v>86</v>
      </c>
      <c r="CF696" s="3">
        <v>45997</v>
      </c>
      <c r="CI696">
        <v>1</v>
      </c>
      <c r="CJ696">
        <v>1</v>
      </c>
      <c r="CK696">
        <v>21</v>
      </c>
      <c r="CL696" t="s">
        <v>87</v>
      </c>
    </row>
    <row r="697" spans="1:90" x14ac:dyDescent="0.3">
      <c r="A697" t="s">
        <v>72</v>
      </c>
      <c r="B697" t="s">
        <v>73</v>
      </c>
      <c r="C697" t="s">
        <v>74</v>
      </c>
      <c r="E697" t="str">
        <f>"080069681337"</f>
        <v>080069681337</v>
      </c>
      <c r="F697" s="3">
        <v>45995</v>
      </c>
      <c r="G697">
        <v>202609</v>
      </c>
      <c r="H697" t="s">
        <v>75</v>
      </c>
      <c r="I697" t="s">
        <v>76</v>
      </c>
      <c r="J697" t="s">
        <v>77</v>
      </c>
      <c r="K697" t="s">
        <v>78</v>
      </c>
      <c r="L697" t="s">
        <v>698</v>
      </c>
      <c r="M697" t="s">
        <v>698</v>
      </c>
      <c r="N697" t="s">
        <v>543</v>
      </c>
      <c r="O697" t="s">
        <v>80</v>
      </c>
      <c r="P697" t="str">
        <f>"4170072029                    "</f>
        <v xml:space="preserve">4170072029                    </v>
      </c>
      <c r="Q697">
        <v>0</v>
      </c>
      <c r="R697">
        <v>0</v>
      </c>
      <c r="S697">
        <v>0</v>
      </c>
      <c r="T697">
        <v>0</v>
      </c>
      <c r="U697">
        <v>0</v>
      </c>
      <c r="V697">
        <v>0</v>
      </c>
      <c r="W697">
        <v>0</v>
      </c>
      <c r="X697">
        <v>0</v>
      </c>
      <c r="Y697">
        <v>0</v>
      </c>
      <c r="Z697">
        <v>0</v>
      </c>
      <c r="AA697">
        <v>0</v>
      </c>
      <c r="AB697">
        <v>0</v>
      </c>
      <c r="AC697">
        <v>0</v>
      </c>
      <c r="AD697">
        <v>0</v>
      </c>
      <c r="AE697">
        <v>0</v>
      </c>
      <c r="AF697">
        <v>0</v>
      </c>
      <c r="AG697">
        <v>0</v>
      </c>
      <c r="AH697">
        <v>0</v>
      </c>
      <c r="AI697">
        <v>0</v>
      </c>
      <c r="AJ697">
        <v>0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78.72</v>
      </c>
      <c r="AR697">
        <v>0</v>
      </c>
      <c r="AS697">
        <v>0</v>
      </c>
      <c r="AT697">
        <v>0</v>
      </c>
      <c r="AU697">
        <v>0</v>
      </c>
      <c r="AV697">
        <v>0</v>
      </c>
      <c r="AW697">
        <v>0</v>
      </c>
      <c r="AX697">
        <v>0</v>
      </c>
      <c r="AY697">
        <v>0</v>
      </c>
      <c r="AZ697">
        <v>0</v>
      </c>
      <c r="BA697">
        <v>0</v>
      </c>
      <c r="BB697">
        <v>0</v>
      </c>
      <c r="BC697">
        <v>0</v>
      </c>
      <c r="BD697">
        <v>0</v>
      </c>
      <c r="BE697">
        <v>0</v>
      </c>
      <c r="BF697">
        <v>0</v>
      </c>
      <c r="BG697">
        <v>0</v>
      </c>
      <c r="BH697">
        <v>2</v>
      </c>
      <c r="BI697">
        <v>18</v>
      </c>
      <c r="BJ697">
        <v>32</v>
      </c>
      <c r="BK697">
        <v>32</v>
      </c>
      <c r="BL697">
        <v>240.7</v>
      </c>
      <c r="BM697">
        <v>36.11</v>
      </c>
      <c r="BN697">
        <v>276.81</v>
      </c>
      <c r="BO697">
        <v>276.81</v>
      </c>
      <c r="BQ697" t="s">
        <v>544</v>
      </c>
      <c r="BR697" t="s">
        <v>82</v>
      </c>
      <c r="BS697" s="3">
        <v>45996</v>
      </c>
      <c r="BT697" s="4">
        <v>0.41666666666666669</v>
      </c>
      <c r="BU697" t="s">
        <v>341</v>
      </c>
      <c r="BV697" t="s">
        <v>84</v>
      </c>
      <c r="BY697">
        <v>80000</v>
      </c>
      <c r="CA697" t="s">
        <v>1450</v>
      </c>
      <c r="CC697" t="s">
        <v>698</v>
      </c>
      <c r="CD697">
        <v>1491</v>
      </c>
      <c r="CE697" t="s">
        <v>86</v>
      </c>
      <c r="CF697" s="3">
        <v>45997</v>
      </c>
      <c r="CI697">
        <v>1</v>
      </c>
      <c r="CJ697">
        <v>1</v>
      </c>
      <c r="CK697">
        <v>44</v>
      </c>
      <c r="CL697" t="s">
        <v>87</v>
      </c>
    </row>
    <row r="698" spans="1:90" x14ac:dyDescent="0.3">
      <c r="A698" t="s">
        <v>72</v>
      </c>
      <c r="B698" t="s">
        <v>73</v>
      </c>
      <c r="C698" t="s">
        <v>74</v>
      </c>
      <c r="E698" t="str">
        <f>"080069681430"</f>
        <v>080069681430</v>
      </c>
      <c r="F698" s="3">
        <v>45995</v>
      </c>
      <c r="G698">
        <v>202609</v>
      </c>
      <c r="H698" t="s">
        <v>75</v>
      </c>
      <c r="I698" t="s">
        <v>76</v>
      </c>
      <c r="J698" t="s">
        <v>77</v>
      </c>
      <c r="K698" t="s">
        <v>78</v>
      </c>
      <c r="L698" t="s">
        <v>1451</v>
      </c>
      <c r="M698" t="s">
        <v>1452</v>
      </c>
      <c r="N698" t="s">
        <v>1453</v>
      </c>
      <c r="O698" t="s">
        <v>89</v>
      </c>
      <c r="P698" t="str">
        <f>"4170071998                    "</f>
        <v xml:space="preserve">4170071998                    </v>
      </c>
      <c r="Q698">
        <v>0</v>
      </c>
      <c r="R698">
        <v>0</v>
      </c>
      <c r="S698">
        <v>0</v>
      </c>
      <c r="T698">
        <v>0</v>
      </c>
      <c r="U698">
        <v>0</v>
      </c>
      <c r="V698">
        <v>0</v>
      </c>
      <c r="W698">
        <v>0</v>
      </c>
      <c r="X698">
        <v>0</v>
      </c>
      <c r="Y698">
        <v>0</v>
      </c>
      <c r="Z698">
        <v>0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0</v>
      </c>
      <c r="AJ698">
        <v>0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60.62</v>
      </c>
      <c r="AR698">
        <v>0</v>
      </c>
      <c r="AS698">
        <v>0</v>
      </c>
      <c r="AT698">
        <v>0</v>
      </c>
      <c r="AU698">
        <v>0</v>
      </c>
      <c r="AV698">
        <v>0</v>
      </c>
      <c r="AW698">
        <v>0</v>
      </c>
      <c r="AX698">
        <v>0</v>
      </c>
      <c r="AY698">
        <v>0</v>
      </c>
      <c r="AZ698">
        <v>0</v>
      </c>
      <c r="BA698">
        <v>0</v>
      </c>
      <c r="BB698">
        <v>0</v>
      </c>
      <c r="BC698">
        <v>0</v>
      </c>
      <c r="BD698">
        <v>0</v>
      </c>
      <c r="BE698">
        <v>0</v>
      </c>
      <c r="BF698">
        <v>0</v>
      </c>
      <c r="BG698">
        <v>0</v>
      </c>
      <c r="BH698">
        <v>1</v>
      </c>
      <c r="BI698">
        <v>2.2999999999999998</v>
      </c>
      <c r="BJ698">
        <v>1.3</v>
      </c>
      <c r="BK698">
        <v>2.5</v>
      </c>
      <c r="BL698">
        <v>180.66</v>
      </c>
      <c r="BM698">
        <v>27.1</v>
      </c>
      <c r="BN698">
        <v>207.76</v>
      </c>
      <c r="BO698">
        <v>207.76</v>
      </c>
      <c r="BQ698" t="s">
        <v>1454</v>
      </c>
      <c r="BR698" t="s">
        <v>82</v>
      </c>
      <c r="BS698" s="3">
        <v>45996</v>
      </c>
      <c r="BT698" s="4">
        <v>0.40972222222222221</v>
      </c>
      <c r="BU698" t="s">
        <v>1455</v>
      </c>
      <c r="BV698" t="s">
        <v>84</v>
      </c>
      <c r="BY698">
        <v>6555</v>
      </c>
      <c r="CA698" t="s">
        <v>1456</v>
      </c>
      <c r="CC698" t="s">
        <v>1452</v>
      </c>
      <c r="CD698">
        <v>9701</v>
      </c>
      <c r="CE698" t="s">
        <v>86</v>
      </c>
      <c r="CF698" s="3">
        <v>45999</v>
      </c>
      <c r="CI698">
        <v>1</v>
      </c>
      <c r="CJ698">
        <v>1</v>
      </c>
      <c r="CK698">
        <v>23</v>
      </c>
      <c r="CL698" t="s">
        <v>87</v>
      </c>
    </row>
    <row r="699" spans="1:90" x14ac:dyDescent="0.3">
      <c r="A699" t="s">
        <v>72</v>
      </c>
      <c r="B699" t="s">
        <v>73</v>
      </c>
      <c r="C699" t="s">
        <v>74</v>
      </c>
      <c r="E699" t="str">
        <f>"080069681577"</f>
        <v>080069681577</v>
      </c>
      <c r="F699" s="3">
        <v>45995</v>
      </c>
      <c r="G699">
        <v>202609</v>
      </c>
      <c r="H699" t="s">
        <v>75</v>
      </c>
      <c r="I699" t="s">
        <v>76</v>
      </c>
      <c r="J699" t="s">
        <v>77</v>
      </c>
      <c r="K699" t="s">
        <v>78</v>
      </c>
      <c r="L699" t="s">
        <v>302</v>
      </c>
      <c r="M699" t="s">
        <v>303</v>
      </c>
      <c r="N699" t="s">
        <v>1457</v>
      </c>
      <c r="O699" t="s">
        <v>80</v>
      </c>
      <c r="P699" t="str">
        <f>"4170072031                    "</f>
        <v xml:space="preserve">4170072031                    </v>
      </c>
      <c r="Q699">
        <v>0</v>
      </c>
      <c r="R699">
        <v>0</v>
      </c>
      <c r="S699">
        <v>0</v>
      </c>
      <c r="T699">
        <v>0</v>
      </c>
      <c r="U699">
        <v>0</v>
      </c>
      <c r="V699">
        <v>0</v>
      </c>
      <c r="W699">
        <v>0</v>
      </c>
      <c r="X699">
        <v>0</v>
      </c>
      <c r="Y699">
        <v>0</v>
      </c>
      <c r="Z699">
        <v>0</v>
      </c>
      <c r="AA699">
        <v>0</v>
      </c>
      <c r="AB699">
        <v>0</v>
      </c>
      <c r="AC699">
        <v>0</v>
      </c>
      <c r="AD699">
        <v>0</v>
      </c>
      <c r="AE699">
        <v>0</v>
      </c>
      <c r="AF699">
        <v>0</v>
      </c>
      <c r="AG699">
        <v>0</v>
      </c>
      <c r="AH699">
        <v>0</v>
      </c>
      <c r="AI699">
        <v>0</v>
      </c>
      <c r="AJ699">
        <v>0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84.04</v>
      </c>
      <c r="AR699">
        <v>0</v>
      </c>
      <c r="AS699">
        <v>0</v>
      </c>
      <c r="AT699">
        <v>0</v>
      </c>
      <c r="AU699">
        <v>0</v>
      </c>
      <c r="AV699">
        <v>0</v>
      </c>
      <c r="AW699">
        <v>0</v>
      </c>
      <c r="AX699">
        <v>0</v>
      </c>
      <c r="AY699">
        <v>0</v>
      </c>
      <c r="AZ699">
        <v>0</v>
      </c>
      <c r="BA699">
        <v>0</v>
      </c>
      <c r="BB699">
        <v>0</v>
      </c>
      <c r="BC699">
        <v>0</v>
      </c>
      <c r="BD699">
        <v>0</v>
      </c>
      <c r="BE699">
        <v>0</v>
      </c>
      <c r="BF699">
        <v>0</v>
      </c>
      <c r="BG699">
        <v>0</v>
      </c>
      <c r="BH699">
        <v>2</v>
      </c>
      <c r="BI699">
        <v>23</v>
      </c>
      <c r="BJ699">
        <v>32</v>
      </c>
      <c r="BK699">
        <v>32</v>
      </c>
      <c r="BL699">
        <v>256.56</v>
      </c>
      <c r="BM699">
        <v>38.479999999999997</v>
      </c>
      <c r="BN699">
        <v>295.04000000000002</v>
      </c>
      <c r="BO699">
        <v>295.04000000000002</v>
      </c>
      <c r="BQ699" t="s">
        <v>1458</v>
      </c>
      <c r="BR699" t="s">
        <v>82</v>
      </c>
      <c r="BS699" s="3">
        <v>45996</v>
      </c>
      <c r="BT699" s="4">
        <v>0.4861111111111111</v>
      </c>
      <c r="BU699" t="s">
        <v>1459</v>
      </c>
      <c r="BV699" t="s">
        <v>84</v>
      </c>
      <c r="BY699">
        <v>160000</v>
      </c>
      <c r="CA699">
        <v>9103315752082</v>
      </c>
      <c r="CC699" t="s">
        <v>303</v>
      </c>
      <c r="CD699" s="5" t="s">
        <v>307</v>
      </c>
      <c r="CE699" t="s">
        <v>86</v>
      </c>
      <c r="CF699" s="3">
        <v>45996</v>
      </c>
      <c r="CI699">
        <v>1</v>
      </c>
      <c r="CJ699">
        <v>1</v>
      </c>
      <c r="CK699">
        <v>41</v>
      </c>
      <c r="CL699" t="s">
        <v>87</v>
      </c>
    </row>
    <row r="700" spans="1:90" x14ac:dyDescent="0.3">
      <c r="A700" t="s">
        <v>72</v>
      </c>
      <c r="B700" t="s">
        <v>73</v>
      </c>
      <c r="C700" t="s">
        <v>74</v>
      </c>
      <c r="E700" t="str">
        <f>"080069681734"</f>
        <v>080069681734</v>
      </c>
      <c r="F700" s="3">
        <v>45995</v>
      </c>
      <c r="G700">
        <v>202609</v>
      </c>
      <c r="H700" t="s">
        <v>75</v>
      </c>
      <c r="I700" t="s">
        <v>76</v>
      </c>
      <c r="J700" t="s">
        <v>77</v>
      </c>
      <c r="K700" t="s">
        <v>78</v>
      </c>
      <c r="L700" t="s">
        <v>128</v>
      </c>
      <c r="M700" t="s">
        <v>129</v>
      </c>
      <c r="N700" t="s">
        <v>183</v>
      </c>
      <c r="O700" t="s">
        <v>89</v>
      </c>
      <c r="P700" t="str">
        <f>"4170071994                    "</f>
        <v xml:space="preserve">4170071994                    </v>
      </c>
      <c r="Q700">
        <v>0</v>
      </c>
      <c r="R700">
        <v>0</v>
      </c>
      <c r="S700">
        <v>0</v>
      </c>
      <c r="T700">
        <v>0</v>
      </c>
      <c r="U700">
        <v>0</v>
      </c>
      <c r="V700">
        <v>0</v>
      </c>
      <c r="W700">
        <v>0</v>
      </c>
      <c r="X700">
        <v>0</v>
      </c>
      <c r="Y700">
        <v>0</v>
      </c>
      <c r="Z700">
        <v>0</v>
      </c>
      <c r="AA700">
        <v>0</v>
      </c>
      <c r="AB700">
        <v>0</v>
      </c>
      <c r="AC700">
        <v>0</v>
      </c>
      <c r="AD700">
        <v>0</v>
      </c>
      <c r="AE700">
        <v>0</v>
      </c>
      <c r="AF700">
        <v>0</v>
      </c>
      <c r="AG700">
        <v>0</v>
      </c>
      <c r="AH700">
        <v>0</v>
      </c>
      <c r="AI700">
        <v>0</v>
      </c>
      <c r="AJ700">
        <v>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57.41</v>
      </c>
      <c r="AR700">
        <v>0</v>
      </c>
      <c r="AS700">
        <v>0</v>
      </c>
      <c r="AT700">
        <v>0</v>
      </c>
      <c r="AU700">
        <v>0</v>
      </c>
      <c r="AV700">
        <v>0</v>
      </c>
      <c r="AW700">
        <v>0</v>
      </c>
      <c r="AX700">
        <v>0</v>
      </c>
      <c r="AY700">
        <v>0</v>
      </c>
      <c r="AZ700">
        <v>0</v>
      </c>
      <c r="BA700">
        <v>0</v>
      </c>
      <c r="BB700">
        <v>0</v>
      </c>
      <c r="BC700">
        <v>0</v>
      </c>
      <c r="BD700">
        <v>0</v>
      </c>
      <c r="BE700">
        <v>0</v>
      </c>
      <c r="BF700">
        <v>0</v>
      </c>
      <c r="BG700">
        <v>0</v>
      </c>
      <c r="BH700">
        <v>1</v>
      </c>
      <c r="BI700">
        <v>2</v>
      </c>
      <c r="BJ700">
        <v>4.4000000000000004</v>
      </c>
      <c r="BK700">
        <v>4.5</v>
      </c>
      <c r="BL700">
        <v>171.1</v>
      </c>
      <c r="BM700">
        <v>25.67</v>
      </c>
      <c r="BN700">
        <v>196.77</v>
      </c>
      <c r="BO700">
        <v>196.77</v>
      </c>
      <c r="BQ700" t="s">
        <v>184</v>
      </c>
      <c r="BR700" t="s">
        <v>82</v>
      </c>
      <c r="BS700" s="3">
        <v>45996</v>
      </c>
      <c r="BT700" s="4">
        <v>0.51041666666666663</v>
      </c>
      <c r="BU700" t="s">
        <v>1372</v>
      </c>
      <c r="BV700" t="s">
        <v>87</v>
      </c>
      <c r="BW700" t="s">
        <v>722</v>
      </c>
      <c r="BX700" t="s">
        <v>1293</v>
      </c>
      <c r="BY700">
        <v>21760</v>
      </c>
      <c r="CA700" t="s">
        <v>188</v>
      </c>
      <c r="CC700" t="s">
        <v>129</v>
      </c>
      <c r="CD700">
        <v>5201</v>
      </c>
      <c r="CE700" t="s">
        <v>93</v>
      </c>
      <c r="CF700" s="3">
        <v>45999</v>
      </c>
      <c r="CI700">
        <v>1</v>
      </c>
      <c r="CJ700">
        <v>1</v>
      </c>
      <c r="CK700">
        <v>21</v>
      </c>
      <c r="CL700" t="s">
        <v>87</v>
      </c>
    </row>
    <row r="701" spans="1:90" x14ac:dyDescent="0.3">
      <c r="A701" t="s">
        <v>72</v>
      </c>
      <c r="B701" t="s">
        <v>73</v>
      </c>
      <c r="C701" t="s">
        <v>74</v>
      </c>
      <c r="E701" t="str">
        <f>"080069681789"</f>
        <v>080069681789</v>
      </c>
      <c r="F701" s="3">
        <v>45995</v>
      </c>
      <c r="G701">
        <v>202609</v>
      </c>
      <c r="H701" t="s">
        <v>75</v>
      </c>
      <c r="I701" t="s">
        <v>76</v>
      </c>
      <c r="J701" t="s">
        <v>77</v>
      </c>
      <c r="K701" t="s">
        <v>78</v>
      </c>
      <c r="L701" t="s">
        <v>528</v>
      </c>
      <c r="M701" t="s">
        <v>529</v>
      </c>
      <c r="N701" t="s">
        <v>530</v>
      </c>
      <c r="O701" t="s">
        <v>80</v>
      </c>
      <c r="P701" t="str">
        <f>"4170072015                    "</f>
        <v xml:space="preserve">4170072015                    </v>
      </c>
      <c r="Q701">
        <v>0</v>
      </c>
      <c r="R701">
        <v>0</v>
      </c>
      <c r="S701">
        <v>0</v>
      </c>
      <c r="T701">
        <v>0</v>
      </c>
      <c r="U701">
        <v>0</v>
      </c>
      <c r="V701">
        <v>0</v>
      </c>
      <c r="W701">
        <v>0</v>
      </c>
      <c r="X701">
        <v>0</v>
      </c>
      <c r="Y701">
        <v>0</v>
      </c>
      <c r="Z701">
        <v>0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0</v>
      </c>
      <c r="AJ701">
        <v>0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69.61</v>
      </c>
      <c r="AR701">
        <v>0</v>
      </c>
      <c r="AS701">
        <v>0</v>
      </c>
      <c r="AT701">
        <v>0</v>
      </c>
      <c r="AU701">
        <v>0</v>
      </c>
      <c r="AV701">
        <v>0</v>
      </c>
      <c r="AW701">
        <v>17.41</v>
      </c>
      <c r="AX701">
        <v>0</v>
      </c>
      <c r="AY701">
        <v>0</v>
      </c>
      <c r="AZ701">
        <v>0</v>
      </c>
      <c r="BA701">
        <v>0</v>
      </c>
      <c r="BB701">
        <v>0</v>
      </c>
      <c r="BC701">
        <v>0</v>
      </c>
      <c r="BD701">
        <v>0</v>
      </c>
      <c r="BE701">
        <v>0</v>
      </c>
      <c r="BF701">
        <v>0</v>
      </c>
      <c r="BG701">
        <v>0</v>
      </c>
      <c r="BH701">
        <v>1</v>
      </c>
      <c r="BI701">
        <v>5</v>
      </c>
      <c r="BJ701">
        <v>3.1</v>
      </c>
      <c r="BK701">
        <v>5</v>
      </c>
      <c r="BL701">
        <v>230.97</v>
      </c>
      <c r="BM701">
        <v>34.65</v>
      </c>
      <c r="BN701">
        <v>265.62</v>
      </c>
      <c r="BO701">
        <v>265.62</v>
      </c>
      <c r="BQ701" t="s">
        <v>531</v>
      </c>
      <c r="BR701" t="s">
        <v>82</v>
      </c>
      <c r="BS701" s="3">
        <v>45996</v>
      </c>
      <c r="BT701" s="4">
        <v>0.52777777777777779</v>
      </c>
      <c r="BU701" t="s">
        <v>1460</v>
      </c>
      <c r="BV701" t="s">
        <v>84</v>
      </c>
      <c r="BY701">
        <v>15360</v>
      </c>
      <c r="BZ701" t="s">
        <v>30</v>
      </c>
      <c r="CA701" t="s">
        <v>432</v>
      </c>
      <c r="CC701" t="s">
        <v>529</v>
      </c>
      <c r="CD701" s="5" t="s">
        <v>534</v>
      </c>
      <c r="CE701" t="s">
        <v>86</v>
      </c>
      <c r="CF701" s="3">
        <v>45999</v>
      </c>
      <c r="CI701">
        <v>1</v>
      </c>
      <c r="CJ701">
        <v>1</v>
      </c>
      <c r="CK701">
        <v>43</v>
      </c>
      <c r="CL701" t="s">
        <v>87</v>
      </c>
    </row>
    <row r="702" spans="1:90" x14ac:dyDescent="0.3">
      <c r="A702" t="s">
        <v>72</v>
      </c>
      <c r="B702" t="s">
        <v>73</v>
      </c>
      <c r="C702" t="s">
        <v>74</v>
      </c>
      <c r="E702" t="str">
        <f>"080069681842"</f>
        <v>080069681842</v>
      </c>
      <c r="F702" s="3">
        <v>45995</v>
      </c>
      <c r="G702">
        <v>202609</v>
      </c>
      <c r="H702" t="s">
        <v>75</v>
      </c>
      <c r="I702" t="s">
        <v>76</v>
      </c>
      <c r="J702" t="s">
        <v>77</v>
      </c>
      <c r="K702" t="s">
        <v>78</v>
      </c>
      <c r="L702" t="s">
        <v>75</v>
      </c>
      <c r="M702" t="s">
        <v>76</v>
      </c>
      <c r="N702" t="s">
        <v>1072</v>
      </c>
      <c r="O702" t="s">
        <v>89</v>
      </c>
      <c r="P702" t="str">
        <f>"4170072036                    "</f>
        <v xml:space="preserve">4170072036                    </v>
      </c>
      <c r="Q702">
        <v>0</v>
      </c>
      <c r="R702">
        <v>0</v>
      </c>
      <c r="S702">
        <v>0</v>
      </c>
      <c r="T702">
        <v>0</v>
      </c>
      <c r="U702">
        <v>0</v>
      </c>
      <c r="V702">
        <v>0</v>
      </c>
      <c r="W702">
        <v>0</v>
      </c>
      <c r="X702">
        <v>0</v>
      </c>
      <c r="Y702">
        <v>0</v>
      </c>
      <c r="Z702">
        <v>0</v>
      </c>
      <c r="AA702">
        <v>0</v>
      </c>
      <c r="AB702">
        <v>0</v>
      </c>
      <c r="AC702">
        <v>0</v>
      </c>
      <c r="AD702">
        <v>0</v>
      </c>
      <c r="AE702">
        <v>0</v>
      </c>
      <c r="AF702">
        <v>0</v>
      </c>
      <c r="AG702">
        <v>0</v>
      </c>
      <c r="AH702">
        <v>0</v>
      </c>
      <c r="AI702">
        <v>0</v>
      </c>
      <c r="AJ702">
        <v>0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19.940000000000001</v>
      </c>
      <c r="AR702">
        <v>0</v>
      </c>
      <c r="AS702">
        <v>0</v>
      </c>
      <c r="AT702">
        <v>0</v>
      </c>
      <c r="AU702">
        <v>0</v>
      </c>
      <c r="AV702">
        <v>0</v>
      </c>
      <c r="AW702">
        <v>0</v>
      </c>
      <c r="AX702">
        <v>0</v>
      </c>
      <c r="AY702">
        <v>0</v>
      </c>
      <c r="AZ702">
        <v>0</v>
      </c>
      <c r="BA702">
        <v>0</v>
      </c>
      <c r="BB702">
        <v>0</v>
      </c>
      <c r="BC702">
        <v>0</v>
      </c>
      <c r="BD702">
        <v>0</v>
      </c>
      <c r="BE702">
        <v>0</v>
      </c>
      <c r="BF702">
        <v>0</v>
      </c>
      <c r="BG702">
        <v>0</v>
      </c>
      <c r="BH702">
        <v>1</v>
      </c>
      <c r="BI702">
        <v>1.2</v>
      </c>
      <c r="BJ702">
        <v>3.1</v>
      </c>
      <c r="BK702">
        <v>4</v>
      </c>
      <c r="BL702">
        <v>59.42</v>
      </c>
      <c r="BM702">
        <v>8.91</v>
      </c>
      <c r="BN702">
        <v>68.33</v>
      </c>
      <c r="BO702">
        <v>68.33</v>
      </c>
      <c r="BQ702" t="s">
        <v>1073</v>
      </c>
      <c r="BR702" t="s">
        <v>82</v>
      </c>
      <c r="BS702" s="3">
        <v>45996</v>
      </c>
      <c r="BT702" s="4">
        <v>0.36736111111111114</v>
      </c>
      <c r="BU702" t="s">
        <v>1461</v>
      </c>
      <c r="BV702" t="s">
        <v>84</v>
      </c>
      <c r="BY702">
        <v>15254.64</v>
      </c>
      <c r="CA702" t="s">
        <v>497</v>
      </c>
      <c r="CC702" t="s">
        <v>76</v>
      </c>
      <c r="CD702">
        <v>1614</v>
      </c>
      <c r="CE702" t="s">
        <v>86</v>
      </c>
      <c r="CF702" s="3">
        <v>45997</v>
      </c>
      <c r="CI702">
        <v>1</v>
      </c>
      <c r="CJ702">
        <v>1</v>
      </c>
      <c r="CK702">
        <v>22</v>
      </c>
      <c r="CL702" t="s">
        <v>87</v>
      </c>
    </row>
    <row r="703" spans="1:90" x14ac:dyDescent="0.3">
      <c r="A703" t="s">
        <v>72</v>
      </c>
      <c r="B703" t="s">
        <v>73</v>
      </c>
      <c r="C703" t="s">
        <v>74</v>
      </c>
      <c r="E703" t="str">
        <f>"080069681923"</f>
        <v>080069681923</v>
      </c>
      <c r="F703" s="3">
        <v>45995</v>
      </c>
      <c r="G703">
        <v>202609</v>
      </c>
      <c r="H703" t="s">
        <v>75</v>
      </c>
      <c r="I703" t="s">
        <v>76</v>
      </c>
      <c r="J703" t="s">
        <v>77</v>
      </c>
      <c r="K703" t="s">
        <v>78</v>
      </c>
      <c r="L703" t="s">
        <v>465</v>
      </c>
      <c r="M703" t="s">
        <v>466</v>
      </c>
      <c r="N703" t="s">
        <v>1462</v>
      </c>
      <c r="O703" t="s">
        <v>340</v>
      </c>
      <c r="P703" t="str">
        <f>"4170072002                    "</f>
        <v xml:space="preserve">4170072002                    </v>
      </c>
      <c r="Q703">
        <v>0</v>
      </c>
      <c r="R703">
        <v>0</v>
      </c>
      <c r="S703">
        <v>0</v>
      </c>
      <c r="T703">
        <v>0</v>
      </c>
      <c r="U703">
        <v>0</v>
      </c>
      <c r="V703">
        <v>0</v>
      </c>
      <c r="W703">
        <v>0</v>
      </c>
      <c r="X703">
        <v>0</v>
      </c>
      <c r="Y703">
        <v>0</v>
      </c>
      <c r="Z703">
        <v>0</v>
      </c>
      <c r="AA703">
        <v>0</v>
      </c>
      <c r="AB703">
        <v>0</v>
      </c>
      <c r="AC703">
        <v>0</v>
      </c>
      <c r="AD703">
        <v>0</v>
      </c>
      <c r="AE703">
        <v>0</v>
      </c>
      <c r="AF703">
        <v>0</v>
      </c>
      <c r="AG703">
        <v>0</v>
      </c>
      <c r="AH703">
        <v>0</v>
      </c>
      <c r="AI703">
        <v>0</v>
      </c>
      <c r="AJ703">
        <v>0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22.18</v>
      </c>
      <c r="AR703">
        <v>0</v>
      </c>
      <c r="AS703">
        <v>0</v>
      </c>
      <c r="AT703">
        <v>0</v>
      </c>
      <c r="AU703">
        <v>0</v>
      </c>
      <c r="AV703">
        <v>0</v>
      </c>
      <c r="AW703">
        <v>0</v>
      </c>
      <c r="AX703">
        <v>0</v>
      </c>
      <c r="AY703">
        <v>0</v>
      </c>
      <c r="AZ703">
        <v>0</v>
      </c>
      <c r="BA703">
        <v>0</v>
      </c>
      <c r="BB703">
        <v>0</v>
      </c>
      <c r="BC703">
        <v>0</v>
      </c>
      <c r="BD703">
        <v>0</v>
      </c>
      <c r="BE703">
        <v>0</v>
      </c>
      <c r="BF703">
        <v>0</v>
      </c>
      <c r="BG703">
        <v>0</v>
      </c>
      <c r="BH703">
        <v>1</v>
      </c>
      <c r="BI703">
        <v>3</v>
      </c>
      <c r="BJ703">
        <v>8.6</v>
      </c>
      <c r="BK703">
        <v>9</v>
      </c>
      <c r="BL703">
        <v>66.099999999999994</v>
      </c>
      <c r="BM703">
        <v>9.92</v>
      </c>
      <c r="BN703">
        <v>76.02</v>
      </c>
      <c r="BO703">
        <v>76.02</v>
      </c>
      <c r="BQ703" t="s">
        <v>1463</v>
      </c>
      <c r="BR703" t="s">
        <v>82</v>
      </c>
      <c r="BS703" s="3">
        <v>45999</v>
      </c>
      <c r="BT703" s="4">
        <v>0.3611111111111111</v>
      </c>
      <c r="BU703" t="s">
        <v>1464</v>
      </c>
      <c r="BV703" t="s">
        <v>87</v>
      </c>
      <c r="BY703">
        <v>42798.58</v>
      </c>
      <c r="CA703" t="s">
        <v>727</v>
      </c>
      <c r="CC703" t="s">
        <v>466</v>
      </c>
      <c r="CD703">
        <v>1428</v>
      </c>
      <c r="CE703" t="s">
        <v>93</v>
      </c>
      <c r="CF703" s="3">
        <v>45999</v>
      </c>
      <c r="CI703">
        <v>1</v>
      </c>
      <c r="CJ703">
        <v>2</v>
      </c>
      <c r="CK703">
        <v>32</v>
      </c>
      <c r="CL703" t="s">
        <v>87</v>
      </c>
    </row>
    <row r="704" spans="1:90" x14ac:dyDescent="0.3">
      <c r="A704" t="s">
        <v>72</v>
      </c>
      <c r="B704" t="s">
        <v>73</v>
      </c>
      <c r="C704" t="s">
        <v>74</v>
      </c>
      <c r="E704" t="str">
        <f>"080069682019"</f>
        <v>080069682019</v>
      </c>
      <c r="F704" s="3">
        <v>45995</v>
      </c>
      <c r="G704">
        <v>202609</v>
      </c>
      <c r="H704" t="s">
        <v>75</v>
      </c>
      <c r="I704" t="s">
        <v>76</v>
      </c>
      <c r="J704" t="s">
        <v>77</v>
      </c>
      <c r="K704" t="s">
        <v>78</v>
      </c>
      <c r="L704" t="s">
        <v>120</v>
      </c>
      <c r="M704" t="s">
        <v>121</v>
      </c>
      <c r="N704" t="s">
        <v>163</v>
      </c>
      <c r="O704" t="s">
        <v>89</v>
      </c>
      <c r="P704" t="str">
        <f>"4170071975                    "</f>
        <v xml:space="preserve">4170071975                    </v>
      </c>
      <c r="Q704">
        <v>0</v>
      </c>
      <c r="R704">
        <v>0</v>
      </c>
      <c r="S704">
        <v>0</v>
      </c>
      <c r="T704">
        <v>0</v>
      </c>
      <c r="U704">
        <v>0</v>
      </c>
      <c r="V704">
        <v>0</v>
      </c>
      <c r="W704">
        <v>0</v>
      </c>
      <c r="X704">
        <v>0</v>
      </c>
      <c r="Y704">
        <v>0</v>
      </c>
      <c r="Z704">
        <v>0</v>
      </c>
      <c r="AA704">
        <v>0</v>
      </c>
      <c r="AB704">
        <v>0</v>
      </c>
      <c r="AC704">
        <v>0</v>
      </c>
      <c r="AD704">
        <v>0</v>
      </c>
      <c r="AE704">
        <v>0</v>
      </c>
      <c r="AF704">
        <v>0</v>
      </c>
      <c r="AG704">
        <v>0</v>
      </c>
      <c r="AH704">
        <v>0</v>
      </c>
      <c r="AI704">
        <v>0</v>
      </c>
      <c r="AJ704">
        <v>0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25.52</v>
      </c>
      <c r="AR704">
        <v>0</v>
      </c>
      <c r="AS704">
        <v>0</v>
      </c>
      <c r="AT704">
        <v>0</v>
      </c>
      <c r="AU704">
        <v>0</v>
      </c>
      <c r="AV704">
        <v>0</v>
      </c>
      <c r="AW704">
        <v>0</v>
      </c>
      <c r="AX704">
        <v>0</v>
      </c>
      <c r="AY704">
        <v>0</v>
      </c>
      <c r="AZ704">
        <v>0</v>
      </c>
      <c r="BA704">
        <v>0</v>
      </c>
      <c r="BB704">
        <v>0</v>
      </c>
      <c r="BC704">
        <v>0</v>
      </c>
      <c r="BD704">
        <v>0</v>
      </c>
      <c r="BE704">
        <v>0</v>
      </c>
      <c r="BF704">
        <v>0</v>
      </c>
      <c r="BG704">
        <v>0</v>
      </c>
      <c r="BH704">
        <v>1</v>
      </c>
      <c r="BI704">
        <v>1</v>
      </c>
      <c r="BJ704">
        <v>0.2</v>
      </c>
      <c r="BK704">
        <v>1</v>
      </c>
      <c r="BL704">
        <v>76.06</v>
      </c>
      <c r="BM704">
        <v>11.41</v>
      </c>
      <c r="BN704">
        <v>87.47</v>
      </c>
      <c r="BO704">
        <v>87.47</v>
      </c>
      <c r="BQ704" t="s">
        <v>164</v>
      </c>
      <c r="BR704" t="s">
        <v>82</v>
      </c>
      <c r="BS704" s="3">
        <v>45996</v>
      </c>
      <c r="BT704" s="4">
        <v>0.40069444444444446</v>
      </c>
      <c r="BU704" t="s">
        <v>165</v>
      </c>
      <c r="BV704" t="s">
        <v>84</v>
      </c>
      <c r="BY704">
        <v>1200</v>
      </c>
      <c r="CA704" t="s">
        <v>126</v>
      </c>
      <c r="CC704" t="s">
        <v>121</v>
      </c>
      <c r="CD704">
        <v>6230</v>
      </c>
      <c r="CE704" t="s">
        <v>134</v>
      </c>
      <c r="CF704" s="3">
        <v>45996</v>
      </c>
      <c r="CI704">
        <v>1</v>
      </c>
      <c r="CJ704">
        <v>1</v>
      </c>
      <c r="CK704">
        <v>21</v>
      </c>
      <c r="CL704" t="s">
        <v>87</v>
      </c>
    </row>
    <row r="705" spans="1:90" x14ac:dyDescent="0.3">
      <c r="A705" t="s">
        <v>72</v>
      </c>
      <c r="B705" t="s">
        <v>73</v>
      </c>
      <c r="C705" t="s">
        <v>74</v>
      </c>
      <c r="E705" t="str">
        <f>"080069682055"</f>
        <v>080069682055</v>
      </c>
      <c r="F705" s="3">
        <v>45995</v>
      </c>
      <c r="G705">
        <v>202609</v>
      </c>
      <c r="H705" t="s">
        <v>75</v>
      </c>
      <c r="I705" t="s">
        <v>76</v>
      </c>
      <c r="J705" t="s">
        <v>77</v>
      </c>
      <c r="K705" t="s">
        <v>78</v>
      </c>
      <c r="L705" t="s">
        <v>1465</v>
      </c>
      <c r="M705" t="s">
        <v>1466</v>
      </c>
      <c r="N705" t="s">
        <v>1467</v>
      </c>
      <c r="O705" t="s">
        <v>89</v>
      </c>
      <c r="P705" t="str">
        <f>"4170072033                    "</f>
        <v xml:space="preserve">4170072033                    </v>
      </c>
      <c r="Q705">
        <v>0</v>
      </c>
      <c r="R705">
        <v>0</v>
      </c>
      <c r="S705">
        <v>0</v>
      </c>
      <c r="T705">
        <v>0</v>
      </c>
      <c r="U705">
        <v>0</v>
      </c>
      <c r="V705">
        <v>0</v>
      </c>
      <c r="W705">
        <v>0</v>
      </c>
      <c r="X705">
        <v>0</v>
      </c>
      <c r="Y705">
        <v>0</v>
      </c>
      <c r="Z705">
        <v>0</v>
      </c>
      <c r="AA705">
        <v>0</v>
      </c>
      <c r="AB705">
        <v>0</v>
      </c>
      <c r="AC705">
        <v>0</v>
      </c>
      <c r="AD705">
        <v>0</v>
      </c>
      <c r="AE705">
        <v>0</v>
      </c>
      <c r="AF705">
        <v>0</v>
      </c>
      <c r="AG705">
        <v>0</v>
      </c>
      <c r="AH705">
        <v>0</v>
      </c>
      <c r="AI705">
        <v>0</v>
      </c>
      <c r="AJ705">
        <v>0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25.52</v>
      </c>
      <c r="AR705">
        <v>0</v>
      </c>
      <c r="AS705">
        <v>0</v>
      </c>
      <c r="AT705">
        <v>0</v>
      </c>
      <c r="AU705">
        <v>0</v>
      </c>
      <c r="AV705">
        <v>0</v>
      </c>
      <c r="AW705">
        <v>0</v>
      </c>
      <c r="AX705">
        <v>0</v>
      </c>
      <c r="AY705">
        <v>0</v>
      </c>
      <c r="AZ705">
        <v>0</v>
      </c>
      <c r="BA705">
        <v>0</v>
      </c>
      <c r="BB705">
        <v>0</v>
      </c>
      <c r="BC705">
        <v>0</v>
      </c>
      <c r="BD705">
        <v>0</v>
      </c>
      <c r="BE705">
        <v>0</v>
      </c>
      <c r="BF705">
        <v>0</v>
      </c>
      <c r="BG705">
        <v>0</v>
      </c>
      <c r="BH705">
        <v>1</v>
      </c>
      <c r="BI705">
        <v>1</v>
      </c>
      <c r="BJ705">
        <v>0.2</v>
      </c>
      <c r="BK705">
        <v>1</v>
      </c>
      <c r="BL705">
        <v>76.06</v>
      </c>
      <c r="BM705">
        <v>11.41</v>
      </c>
      <c r="BN705">
        <v>87.47</v>
      </c>
      <c r="BO705">
        <v>87.47</v>
      </c>
      <c r="BQ705" t="s">
        <v>1468</v>
      </c>
      <c r="BR705" t="s">
        <v>82</v>
      </c>
      <c r="BS705" s="3">
        <v>45996</v>
      </c>
      <c r="BT705" s="4">
        <v>0.51388888888888884</v>
      </c>
      <c r="BU705" t="s">
        <v>1469</v>
      </c>
      <c r="BV705" t="s">
        <v>84</v>
      </c>
      <c r="BY705">
        <v>1200</v>
      </c>
      <c r="CA705">
        <v>8005225731083</v>
      </c>
      <c r="CC705" t="s">
        <v>1466</v>
      </c>
      <c r="CD705">
        <v>6529</v>
      </c>
      <c r="CE705" t="s">
        <v>134</v>
      </c>
      <c r="CF705" s="3">
        <v>45999</v>
      </c>
      <c r="CI705">
        <v>1</v>
      </c>
      <c r="CJ705">
        <v>1</v>
      </c>
      <c r="CK705">
        <v>21</v>
      </c>
      <c r="CL705" t="s">
        <v>87</v>
      </c>
    </row>
    <row r="706" spans="1:90" x14ac:dyDescent="0.3">
      <c r="A706" t="s">
        <v>72</v>
      </c>
      <c r="B706" t="s">
        <v>73</v>
      </c>
      <c r="C706" t="s">
        <v>74</v>
      </c>
      <c r="E706" t="str">
        <f>"080069682058"</f>
        <v>080069682058</v>
      </c>
      <c r="F706" s="3">
        <v>45995</v>
      </c>
      <c r="G706">
        <v>202609</v>
      </c>
      <c r="H706" t="s">
        <v>75</v>
      </c>
      <c r="I706" t="s">
        <v>76</v>
      </c>
      <c r="J706" t="s">
        <v>77</v>
      </c>
      <c r="K706" t="s">
        <v>78</v>
      </c>
      <c r="L706" t="s">
        <v>899</v>
      </c>
      <c r="M706" t="s">
        <v>900</v>
      </c>
      <c r="N706" t="s">
        <v>901</v>
      </c>
      <c r="O706" t="s">
        <v>89</v>
      </c>
      <c r="P706" t="str">
        <f>"4170071969                    "</f>
        <v xml:space="preserve">4170071969                    </v>
      </c>
      <c r="Q706">
        <v>0</v>
      </c>
      <c r="R706">
        <v>0</v>
      </c>
      <c r="S706">
        <v>0</v>
      </c>
      <c r="T706">
        <v>0</v>
      </c>
      <c r="U706">
        <v>0</v>
      </c>
      <c r="V706">
        <v>0</v>
      </c>
      <c r="W706">
        <v>0</v>
      </c>
      <c r="X706">
        <v>0</v>
      </c>
      <c r="Y706">
        <v>0</v>
      </c>
      <c r="Z706">
        <v>0</v>
      </c>
      <c r="AA706">
        <v>0</v>
      </c>
      <c r="AB706">
        <v>0</v>
      </c>
      <c r="AC706">
        <v>0</v>
      </c>
      <c r="AD706">
        <v>0</v>
      </c>
      <c r="AE706">
        <v>0</v>
      </c>
      <c r="AF706">
        <v>0</v>
      </c>
      <c r="AG706">
        <v>0</v>
      </c>
      <c r="AH706">
        <v>0</v>
      </c>
      <c r="AI706">
        <v>0</v>
      </c>
      <c r="AJ706">
        <v>0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62.12</v>
      </c>
      <c r="AR706">
        <v>0</v>
      </c>
      <c r="AS706">
        <v>0</v>
      </c>
      <c r="AT706">
        <v>0</v>
      </c>
      <c r="AU706">
        <v>0</v>
      </c>
      <c r="AV706">
        <v>0</v>
      </c>
      <c r="AW706">
        <v>0</v>
      </c>
      <c r="AX706">
        <v>0</v>
      </c>
      <c r="AY706">
        <v>0</v>
      </c>
      <c r="AZ706">
        <v>0</v>
      </c>
      <c r="BA706">
        <v>0</v>
      </c>
      <c r="BB706">
        <v>0</v>
      </c>
      <c r="BC706">
        <v>0</v>
      </c>
      <c r="BD706">
        <v>0</v>
      </c>
      <c r="BE706">
        <v>0</v>
      </c>
      <c r="BF706">
        <v>0</v>
      </c>
      <c r="BG706">
        <v>0</v>
      </c>
      <c r="BH706">
        <v>1</v>
      </c>
      <c r="BI706">
        <v>1</v>
      </c>
      <c r="BJ706">
        <v>3.2</v>
      </c>
      <c r="BK706">
        <v>3.5</v>
      </c>
      <c r="BL706">
        <v>185.13</v>
      </c>
      <c r="BM706">
        <v>27.77</v>
      </c>
      <c r="BN706">
        <v>212.9</v>
      </c>
      <c r="BO706">
        <v>212.9</v>
      </c>
      <c r="BQ706" t="s">
        <v>902</v>
      </c>
      <c r="BR706" t="s">
        <v>82</v>
      </c>
      <c r="BS706" s="3">
        <v>45996</v>
      </c>
      <c r="BT706" s="4">
        <v>0.41458333333333336</v>
      </c>
      <c r="BU706" t="s">
        <v>903</v>
      </c>
      <c r="BV706" t="s">
        <v>84</v>
      </c>
      <c r="BY706">
        <v>16160.63</v>
      </c>
      <c r="CA706" t="s">
        <v>904</v>
      </c>
      <c r="CC706" t="s">
        <v>900</v>
      </c>
      <c r="CD706">
        <v>2410</v>
      </c>
      <c r="CE706" t="s">
        <v>93</v>
      </c>
      <c r="CF706" s="3">
        <v>45997</v>
      </c>
      <c r="CI706">
        <v>1</v>
      </c>
      <c r="CJ706">
        <v>1</v>
      </c>
      <c r="CK706">
        <v>24</v>
      </c>
      <c r="CL706" t="s">
        <v>87</v>
      </c>
    </row>
    <row r="707" spans="1:90" x14ac:dyDescent="0.3">
      <c r="A707" t="s">
        <v>72</v>
      </c>
      <c r="B707" t="s">
        <v>73</v>
      </c>
      <c r="C707" t="s">
        <v>74</v>
      </c>
      <c r="E707" t="str">
        <f>"080069682130"</f>
        <v>080069682130</v>
      </c>
      <c r="F707" s="3">
        <v>45995</v>
      </c>
      <c r="G707">
        <v>202609</v>
      </c>
      <c r="H707" t="s">
        <v>75</v>
      </c>
      <c r="I707" t="s">
        <v>76</v>
      </c>
      <c r="J707" t="s">
        <v>77</v>
      </c>
      <c r="K707" t="s">
        <v>78</v>
      </c>
      <c r="L707" t="s">
        <v>109</v>
      </c>
      <c r="M707" t="s">
        <v>110</v>
      </c>
      <c r="N707" t="s">
        <v>111</v>
      </c>
      <c r="O707" t="s">
        <v>340</v>
      </c>
      <c r="P707" t="str">
        <f>"4170072050                    "</f>
        <v xml:space="preserve">4170072050                    </v>
      </c>
      <c r="Q707">
        <v>0</v>
      </c>
      <c r="R707">
        <v>0</v>
      </c>
      <c r="S707">
        <v>0</v>
      </c>
      <c r="T707">
        <v>0</v>
      </c>
      <c r="U707">
        <v>0</v>
      </c>
      <c r="V707">
        <v>0</v>
      </c>
      <c r="W707">
        <v>0</v>
      </c>
      <c r="X707">
        <v>0</v>
      </c>
      <c r="Y707">
        <v>0</v>
      </c>
      <c r="Z707">
        <v>0</v>
      </c>
      <c r="AA707">
        <v>0</v>
      </c>
      <c r="AB707">
        <v>0</v>
      </c>
      <c r="AC707">
        <v>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0</v>
      </c>
      <c r="AJ707">
        <v>0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186.7</v>
      </c>
      <c r="AR707">
        <v>0</v>
      </c>
      <c r="AS707">
        <v>0</v>
      </c>
      <c r="AT707">
        <v>0</v>
      </c>
      <c r="AU707">
        <v>0</v>
      </c>
      <c r="AV707">
        <v>0</v>
      </c>
      <c r="AW707">
        <v>0</v>
      </c>
      <c r="AX707">
        <v>0</v>
      </c>
      <c r="AY707">
        <v>0</v>
      </c>
      <c r="AZ707">
        <v>0</v>
      </c>
      <c r="BA707">
        <v>0</v>
      </c>
      <c r="BB707">
        <v>0</v>
      </c>
      <c r="BC707">
        <v>0</v>
      </c>
      <c r="BD707">
        <v>0</v>
      </c>
      <c r="BE707">
        <v>0</v>
      </c>
      <c r="BF707">
        <v>0</v>
      </c>
      <c r="BG707">
        <v>0</v>
      </c>
      <c r="BH707">
        <v>1</v>
      </c>
      <c r="BI707">
        <v>9</v>
      </c>
      <c r="BJ707">
        <v>2.9</v>
      </c>
      <c r="BK707">
        <v>9</v>
      </c>
      <c r="BL707">
        <v>556.4</v>
      </c>
      <c r="BM707">
        <v>83.46</v>
      </c>
      <c r="BN707">
        <v>639.86</v>
      </c>
      <c r="BO707">
        <v>639.86</v>
      </c>
      <c r="BQ707" t="s">
        <v>112</v>
      </c>
      <c r="BR707" t="s">
        <v>82</v>
      </c>
      <c r="BS707" s="3">
        <v>45999</v>
      </c>
      <c r="BT707" s="4">
        <v>0.4375</v>
      </c>
      <c r="BU707" t="s">
        <v>113</v>
      </c>
      <c r="BV707" t="s">
        <v>87</v>
      </c>
      <c r="BY707">
        <v>14560</v>
      </c>
      <c r="CC707" t="s">
        <v>110</v>
      </c>
      <c r="CD707">
        <v>1748</v>
      </c>
      <c r="CE707" t="s">
        <v>93</v>
      </c>
      <c r="CF707" s="3">
        <v>45999</v>
      </c>
      <c r="CI707">
        <v>1</v>
      </c>
      <c r="CJ707">
        <v>2</v>
      </c>
      <c r="CK707">
        <v>34</v>
      </c>
      <c r="CL707" t="s">
        <v>87</v>
      </c>
    </row>
    <row r="708" spans="1:90" x14ac:dyDescent="0.3">
      <c r="A708" t="s">
        <v>72</v>
      </c>
      <c r="B708" t="s">
        <v>73</v>
      </c>
      <c r="C708" t="s">
        <v>74</v>
      </c>
      <c r="E708" t="str">
        <f>"080069682235"</f>
        <v>080069682235</v>
      </c>
      <c r="F708" s="3">
        <v>45995</v>
      </c>
      <c r="G708">
        <v>202609</v>
      </c>
      <c r="H708" t="s">
        <v>75</v>
      </c>
      <c r="I708" t="s">
        <v>76</v>
      </c>
      <c r="J708" t="s">
        <v>77</v>
      </c>
      <c r="K708" t="s">
        <v>78</v>
      </c>
      <c r="L708" t="s">
        <v>366</v>
      </c>
      <c r="M708" t="s">
        <v>367</v>
      </c>
      <c r="N708" t="s">
        <v>1470</v>
      </c>
      <c r="O708" t="s">
        <v>80</v>
      </c>
      <c r="P708" t="str">
        <f>"4170072020                    "</f>
        <v xml:space="preserve">4170072020                    </v>
      </c>
      <c r="Q708">
        <v>0</v>
      </c>
      <c r="R708">
        <v>0</v>
      </c>
      <c r="S708">
        <v>0</v>
      </c>
      <c r="T708">
        <v>0</v>
      </c>
      <c r="U708">
        <v>0</v>
      </c>
      <c r="V708">
        <v>0</v>
      </c>
      <c r="W708">
        <v>0</v>
      </c>
      <c r="X708">
        <v>0</v>
      </c>
      <c r="Y708">
        <v>0</v>
      </c>
      <c r="Z708">
        <v>0</v>
      </c>
      <c r="AA708">
        <v>0</v>
      </c>
      <c r="AB708">
        <v>0</v>
      </c>
      <c r="AC708">
        <v>0</v>
      </c>
      <c r="AD708">
        <v>0</v>
      </c>
      <c r="AE708">
        <v>0</v>
      </c>
      <c r="AF708">
        <v>0</v>
      </c>
      <c r="AG708">
        <v>0</v>
      </c>
      <c r="AH708">
        <v>0</v>
      </c>
      <c r="AI708">
        <v>0</v>
      </c>
      <c r="AJ708">
        <v>0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69.61</v>
      </c>
      <c r="AR708">
        <v>0</v>
      </c>
      <c r="AS708">
        <v>0</v>
      </c>
      <c r="AT708">
        <v>0</v>
      </c>
      <c r="AU708">
        <v>0</v>
      </c>
      <c r="AV708">
        <v>0</v>
      </c>
      <c r="AW708">
        <v>0</v>
      </c>
      <c r="AX708">
        <v>0</v>
      </c>
      <c r="AY708">
        <v>0</v>
      </c>
      <c r="AZ708">
        <v>0</v>
      </c>
      <c r="BA708">
        <v>0</v>
      </c>
      <c r="BB708">
        <v>0</v>
      </c>
      <c r="BC708">
        <v>0</v>
      </c>
      <c r="BD708">
        <v>0</v>
      </c>
      <c r="BE708">
        <v>0</v>
      </c>
      <c r="BF708">
        <v>0</v>
      </c>
      <c r="BG708">
        <v>0</v>
      </c>
      <c r="BH708">
        <v>1</v>
      </c>
      <c r="BI708">
        <v>15</v>
      </c>
      <c r="BJ708">
        <v>6.9</v>
      </c>
      <c r="BK708">
        <v>15</v>
      </c>
      <c r="BL708">
        <v>213.56</v>
      </c>
      <c r="BM708">
        <v>32.03</v>
      </c>
      <c r="BN708">
        <v>245.59</v>
      </c>
      <c r="BO708">
        <v>245.59</v>
      </c>
      <c r="BQ708" t="s">
        <v>1471</v>
      </c>
      <c r="BR708" t="s">
        <v>82</v>
      </c>
      <c r="BS708" s="3">
        <v>45999</v>
      </c>
      <c r="BT708" s="4">
        <v>0.6</v>
      </c>
      <c r="BU708" t="s">
        <v>1472</v>
      </c>
      <c r="BV708" t="s">
        <v>87</v>
      </c>
      <c r="BW708" t="s">
        <v>186</v>
      </c>
      <c r="BX708" t="s">
        <v>270</v>
      </c>
      <c r="BY708">
        <v>34680</v>
      </c>
      <c r="CA708">
        <v>8510125994083</v>
      </c>
      <c r="CC708" t="s">
        <v>367</v>
      </c>
      <c r="CD708">
        <v>1911</v>
      </c>
      <c r="CE708" t="s">
        <v>86</v>
      </c>
      <c r="CF708" s="3">
        <v>46000</v>
      </c>
      <c r="CI708">
        <v>1</v>
      </c>
      <c r="CJ708">
        <v>2</v>
      </c>
      <c r="CK708">
        <v>43</v>
      </c>
      <c r="CL708" t="s">
        <v>87</v>
      </c>
    </row>
    <row r="709" spans="1:90" x14ac:dyDescent="0.3">
      <c r="A709" t="s">
        <v>72</v>
      </c>
      <c r="B709" t="s">
        <v>73</v>
      </c>
      <c r="C709" t="s">
        <v>74</v>
      </c>
      <c r="E709" t="str">
        <f>"080069682449"</f>
        <v>080069682449</v>
      </c>
      <c r="F709" s="3">
        <v>45995</v>
      </c>
      <c r="G709">
        <v>202609</v>
      </c>
      <c r="H709" t="s">
        <v>75</v>
      </c>
      <c r="I709" t="s">
        <v>76</v>
      </c>
      <c r="J709" t="s">
        <v>77</v>
      </c>
      <c r="K709" t="s">
        <v>78</v>
      </c>
      <c r="L709" t="s">
        <v>218</v>
      </c>
      <c r="M709" t="s">
        <v>219</v>
      </c>
      <c r="N709" t="s">
        <v>220</v>
      </c>
      <c r="O709" t="s">
        <v>89</v>
      </c>
      <c r="P709" t="str">
        <f>"4170072009                    "</f>
        <v xml:space="preserve">4170072009                    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0</v>
      </c>
      <c r="W709">
        <v>0</v>
      </c>
      <c r="X709">
        <v>0</v>
      </c>
      <c r="Y709">
        <v>0</v>
      </c>
      <c r="Z709">
        <v>0</v>
      </c>
      <c r="AA709">
        <v>0</v>
      </c>
      <c r="AB709">
        <v>0</v>
      </c>
      <c r="AC709">
        <v>0</v>
      </c>
      <c r="AD709">
        <v>0</v>
      </c>
      <c r="AE709">
        <v>0</v>
      </c>
      <c r="AF709">
        <v>0</v>
      </c>
      <c r="AG709">
        <v>0</v>
      </c>
      <c r="AH709">
        <v>0</v>
      </c>
      <c r="AI709">
        <v>0</v>
      </c>
      <c r="AJ709">
        <v>0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362.09</v>
      </c>
      <c r="AR709">
        <v>0</v>
      </c>
      <c r="AS709">
        <v>0</v>
      </c>
      <c r="AT709">
        <v>0</v>
      </c>
      <c r="AU709">
        <v>0</v>
      </c>
      <c r="AV709">
        <v>0</v>
      </c>
      <c r="AW709">
        <v>0</v>
      </c>
      <c r="AX709">
        <v>0</v>
      </c>
      <c r="AY709">
        <v>0</v>
      </c>
      <c r="AZ709">
        <v>0</v>
      </c>
      <c r="BA709">
        <v>0</v>
      </c>
      <c r="BB709">
        <v>0</v>
      </c>
      <c r="BC709">
        <v>0</v>
      </c>
      <c r="BD709">
        <v>0</v>
      </c>
      <c r="BE709">
        <v>0</v>
      </c>
      <c r="BF709">
        <v>0</v>
      </c>
      <c r="BG709">
        <v>0</v>
      </c>
      <c r="BH709">
        <v>1</v>
      </c>
      <c r="BI709">
        <v>5</v>
      </c>
      <c r="BJ709">
        <v>15.8</v>
      </c>
      <c r="BK709">
        <v>16</v>
      </c>
      <c r="BL709">
        <v>1079.0999999999999</v>
      </c>
      <c r="BM709">
        <v>161.87</v>
      </c>
      <c r="BN709">
        <v>1240.97</v>
      </c>
      <c r="BO709">
        <v>1240.97</v>
      </c>
      <c r="BQ709" t="s">
        <v>221</v>
      </c>
      <c r="BR709" t="s">
        <v>82</v>
      </c>
      <c r="BS709" s="3">
        <v>45996</v>
      </c>
      <c r="BT709" s="4">
        <v>0.31597222222222221</v>
      </c>
      <c r="BU709" t="s">
        <v>222</v>
      </c>
      <c r="BV709" t="s">
        <v>84</v>
      </c>
      <c r="BY709">
        <v>78800</v>
      </c>
      <c r="CC709" t="s">
        <v>219</v>
      </c>
      <c r="CD709">
        <v>2740</v>
      </c>
      <c r="CE709" t="s">
        <v>546</v>
      </c>
      <c r="CF709" s="3">
        <v>45999</v>
      </c>
      <c r="CI709">
        <v>1</v>
      </c>
      <c r="CJ709">
        <v>1</v>
      </c>
      <c r="CK709">
        <v>23</v>
      </c>
      <c r="CL709" t="s">
        <v>87</v>
      </c>
    </row>
    <row r="710" spans="1:90" x14ac:dyDescent="0.3">
      <c r="A710" t="s">
        <v>72</v>
      </c>
      <c r="B710" t="s">
        <v>73</v>
      </c>
      <c r="C710" t="s">
        <v>74</v>
      </c>
      <c r="E710" t="str">
        <f>"080069682799"</f>
        <v>080069682799</v>
      </c>
      <c r="F710" s="3">
        <v>45995</v>
      </c>
      <c r="G710">
        <v>202609</v>
      </c>
      <c r="H710" t="s">
        <v>75</v>
      </c>
      <c r="I710" t="s">
        <v>76</v>
      </c>
      <c r="J710" t="s">
        <v>77</v>
      </c>
      <c r="K710" t="s">
        <v>78</v>
      </c>
      <c r="L710" t="s">
        <v>189</v>
      </c>
      <c r="M710" t="s">
        <v>190</v>
      </c>
      <c r="N710" t="s">
        <v>791</v>
      </c>
      <c r="O710" t="s">
        <v>89</v>
      </c>
      <c r="P710" t="str">
        <f>"4170072014                    "</f>
        <v xml:space="preserve">4170072014                    </v>
      </c>
      <c r="Q710">
        <v>0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0</v>
      </c>
      <c r="X710">
        <v>0</v>
      </c>
      <c r="Y710">
        <v>0</v>
      </c>
      <c r="Z710">
        <v>0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0</v>
      </c>
      <c r="AJ710">
        <v>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178.6</v>
      </c>
      <c r="AR710">
        <v>0</v>
      </c>
      <c r="AS710">
        <v>0</v>
      </c>
      <c r="AT710">
        <v>0</v>
      </c>
      <c r="AU710">
        <v>0</v>
      </c>
      <c r="AV710">
        <v>0</v>
      </c>
      <c r="AW710">
        <v>0</v>
      </c>
      <c r="AX710">
        <v>0</v>
      </c>
      <c r="AY710">
        <v>0</v>
      </c>
      <c r="AZ710">
        <v>0</v>
      </c>
      <c r="BA710">
        <v>0</v>
      </c>
      <c r="BB710">
        <v>0</v>
      </c>
      <c r="BC710">
        <v>0</v>
      </c>
      <c r="BD710">
        <v>0</v>
      </c>
      <c r="BE710">
        <v>0</v>
      </c>
      <c r="BF710">
        <v>0</v>
      </c>
      <c r="BG710">
        <v>0</v>
      </c>
      <c r="BH710">
        <v>1</v>
      </c>
      <c r="BI710">
        <v>14</v>
      </c>
      <c r="BJ710">
        <v>11.2</v>
      </c>
      <c r="BK710">
        <v>14</v>
      </c>
      <c r="BL710">
        <v>532.26</v>
      </c>
      <c r="BM710">
        <v>79.84</v>
      </c>
      <c r="BN710">
        <v>612.1</v>
      </c>
      <c r="BO710">
        <v>612.1</v>
      </c>
      <c r="BQ710" t="s">
        <v>792</v>
      </c>
      <c r="BR710" t="s">
        <v>82</v>
      </c>
      <c r="BS710" s="3">
        <v>45996</v>
      </c>
      <c r="BT710" s="4">
        <v>0.48888888888888887</v>
      </c>
      <c r="BU710" t="s">
        <v>1473</v>
      </c>
      <c r="BV710" t="s">
        <v>84</v>
      </c>
      <c r="BY710">
        <v>56160</v>
      </c>
      <c r="CA710" t="s">
        <v>1474</v>
      </c>
      <c r="CC710" t="s">
        <v>190</v>
      </c>
      <c r="CD710">
        <v>3201</v>
      </c>
      <c r="CE710" t="s">
        <v>86</v>
      </c>
      <c r="CF710" s="3">
        <v>45997</v>
      </c>
      <c r="CI710">
        <v>1</v>
      </c>
      <c r="CJ710">
        <v>1</v>
      </c>
      <c r="CK710">
        <v>21</v>
      </c>
      <c r="CL710" t="s">
        <v>87</v>
      </c>
    </row>
    <row r="711" spans="1:90" x14ac:dyDescent="0.3">
      <c r="A711" t="s">
        <v>72</v>
      </c>
      <c r="B711" t="s">
        <v>73</v>
      </c>
      <c r="C711" t="s">
        <v>74</v>
      </c>
      <c r="E711" t="str">
        <f>"080069682831"</f>
        <v>080069682831</v>
      </c>
      <c r="F711" s="3">
        <v>45995</v>
      </c>
      <c r="G711">
        <v>202609</v>
      </c>
      <c r="H711" t="s">
        <v>75</v>
      </c>
      <c r="I711" t="s">
        <v>76</v>
      </c>
      <c r="J711" t="s">
        <v>77</v>
      </c>
      <c r="K711" t="s">
        <v>78</v>
      </c>
      <c r="L711" t="s">
        <v>94</v>
      </c>
      <c r="M711" t="s">
        <v>95</v>
      </c>
      <c r="N711" t="s">
        <v>1188</v>
      </c>
      <c r="O711" t="s">
        <v>89</v>
      </c>
      <c r="P711" t="str">
        <f>"4170071849                    "</f>
        <v xml:space="preserve">4170071849                    </v>
      </c>
      <c r="Q711">
        <v>0</v>
      </c>
      <c r="R711">
        <v>0</v>
      </c>
      <c r="S711">
        <v>0</v>
      </c>
      <c r="T711">
        <v>0</v>
      </c>
      <c r="U711">
        <v>0</v>
      </c>
      <c r="V711">
        <v>0</v>
      </c>
      <c r="W711">
        <v>0</v>
      </c>
      <c r="X711">
        <v>0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>
        <v>0</v>
      </c>
      <c r="AG711">
        <v>0</v>
      </c>
      <c r="AH711">
        <v>0</v>
      </c>
      <c r="AI711">
        <v>0</v>
      </c>
      <c r="AJ711">
        <v>0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38.28</v>
      </c>
      <c r="AR711">
        <v>0</v>
      </c>
      <c r="AS711">
        <v>0</v>
      </c>
      <c r="AT711">
        <v>0</v>
      </c>
      <c r="AU711">
        <v>0</v>
      </c>
      <c r="AV711">
        <v>0</v>
      </c>
      <c r="AW711">
        <v>0</v>
      </c>
      <c r="AX711">
        <v>0</v>
      </c>
      <c r="AY711">
        <v>0</v>
      </c>
      <c r="AZ711">
        <v>0</v>
      </c>
      <c r="BA711">
        <v>0</v>
      </c>
      <c r="BB711">
        <v>0</v>
      </c>
      <c r="BC711">
        <v>0</v>
      </c>
      <c r="BD711">
        <v>0</v>
      </c>
      <c r="BE711">
        <v>0</v>
      </c>
      <c r="BF711">
        <v>0</v>
      </c>
      <c r="BG711">
        <v>0</v>
      </c>
      <c r="BH711">
        <v>1</v>
      </c>
      <c r="BI711">
        <v>1</v>
      </c>
      <c r="BJ711">
        <v>2.6</v>
      </c>
      <c r="BK711">
        <v>3</v>
      </c>
      <c r="BL711">
        <v>114.08</v>
      </c>
      <c r="BM711">
        <v>17.11</v>
      </c>
      <c r="BN711">
        <v>131.19</v>
      </c>
      <c r="BO711">
        <v>131.19</v>
      </c>
      <c r="BQ711" t="s">
        <v>1189</v>
      </c>
      <c r="BR711" t="s">
        <v>82</v>
      </c>
      <c r="BS711" s="3">
        <v>45996</v>
      </c>
      <c r="BT711" s="4">
        <v>0.71805555555555556</v>
      </c>
      <c r="BU711" t="s">
        <v>1475</v>
      </c>
      <c r="BV711" t="s">
        <v>87</v>
      </c>
      <c r="BY711">
        <v>12992</v>
      </c>
      <c r="CA711" t="s">
        <v>1191</v>
      </c>
      <c r="CC711" t="s">
        <v>95</v>
      </c>
      <c r="CD711">
        <v>3610</v>
      </c>
      <c r="CE711" t="s">
        <v>93</v>
      </c>
      <c r="CF711" s="3">
        <v>45997</v>
      </c>
      <c r="CI711">
        <v>1</v>
      </c>
      <c r="CJ711">
        <v>1</v>
      </c>
      <c r="CK711">
        <v>21</v>
      </c>
      <c r="CL711" t="s">
        <v>87</v>
      </c>
    </row>
    <row r="712" spans="1:90" x14ac:dyDescent="0.3">
      <c r="A712" t="s">
        <v>72</v>
      </c>
      <c r="B712" t="s">
        <v>73</v>
      </c>
      <c r="C712" t="s">
        <v>74</v>
      </c>
      <c r="E712" t="str">
        <f>"080069682879"</f>
        <v>080069682879</v>
      </c>
      <c r="F712" s="3">
        <v>45995</v>
      </c>
      <c r="G712">
        <v>202609</v>
      </c>
      <c r="H712" t="s">
        <v>75</v>
      </c>
      <c r="I712" t="s">
        <v>76</v>
      </c>
      <c r="J712" t="s">
        <v>77</v>
      </c>
      <c r="K712" t="s">
        <v>78</v>
      </c>
      <c r="L712" t="s">
        <v>141</v>
      </c>
      <c r="M712" t="s">
        <v>142</v>
      </c>
      <c r="N712" t="s">
        <v>675</v>
      </c>
      <c r="O712" t="s">
        <v>89</v>
      </c>
      <c r="P712" t="str">
        <f>"4170071991                    "</f>
        <v xml:space="preserve">4170071991                    </v>
      </c>
      <c r="Q712">
        <v>0</v>
      </c>
      <c r="R712">
        <v>0</v>
      </c>
      <c r="S712">
        <v>0</v>
      </c>
      <c r="T712">
        <v>0</v>
      </c>
      <c r="U712">
        <v>0</v>
      </c>
      <c r="V712">
        <v>0</v>
      </c>
      <c r="W712">
        <v>0</v>
      </c>
      <c r="X712">
        <v>0</v>
      </c>
      <c r="Y712">
        <v>0</v>
      </c>
      <c r="Z712">
        <v>0</v>
      </c>
      <c r="AA712">
        <v>0</v>
      </c>
      <c r="AB712">
        <v>0</v>
      </c>
      <c r="AC712">
        <v>0</v>
      </c>
      <c r="AD712">
        <v>0</v>
      </c>
      <c r="AE712">
        <v>0</v>
      </c>
      <c r="AF712">
        <v>0</v>
      </c>
      <c r="AG712">
        <v>0</v>
      </c>
      <c r="AH712">
        <v>0</v>
      </c>
      <c r="AI712">
        <v>0</v>
      </c>
      <c r="AJ712">
        <v>0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25.52</v>
      </c>
      <c r="AR712">
        <v>0</v>
      </c>
      <c r="AS712">
        <v>0</v>
      </c>
      <c r="AT712">
        <v>0</v>
      </c>
      <c r="AU712">
        <v>0</v>
      </c>
      <c r="AV712">
        <v>0</v>
      </c>
      <c r="AW712">
        <v>0</v>
      </c>
      <c r="AX712">
        <v>0</v>
      </c>
      <c r="AY712">
        <v>0</v>
      </c>
      <c r="AZ712">
        <v>0</v>
      </c>
      <c r="BA712">
        <v>0</v>
      </c>
      <c r="BB712">
        <v>0</v>
      </c>
      <c r="BC712">
        <v>0</v>
      </c>
      <c r="BD712">
        <v>0</v>
      </c>
      <c r="BE712">
        <v>0</v>
      </c>
      <c r="BF712">
        <v>0</v>
      </c>
      <c r="BG712">
        <v>0</v>
      </c>
      <c r="BH712">
        <v>1</v>
      </c>
      <c r="BI712">
        <v>1</v>
      </c>
      <c r="BJ712">
        <v>0.2</v>
      </c>
      <c r="BK712">
        <v>1</v>
      </c>
      <c r="BL712">
        <v>76.06</v>
      </c>
      <c r="BM712">
        <v>11.41</v>
      </c>
      <c r="BN712">
        <v>87.47</v>
      </c>
      <c r="BO712">
        <v>87.47</v>
      </c>
      <c r="BQ712" t="s">
        <v>676</v>
      </c>
      <c r="BR712" t="s">
        <v>82</v>
      </c>
      <c r="BS712" s="3">
        <v>45999</v>
      </c>
      <c r="BT712" s="4">
        <v>0.41458333333333336</v>
      </c>
      <c r="BU712" t="s">
        <v>677</v>
      </c>
      <c r="BV712" t="s">
        <v>87</v>
      </c>
      <c r="BW712" t="s">
        <v>1476</v>
      </c>
      <c r="BX712" t="s">
        <v>270</v>
      </c>
      <c r="BY712">
        <v>1200</v>
      </c>
      <c r="CA712" t="s">
        <v>1228</v>
      </c>
      <c r="CC712" t="s">
        <v>142</v>
      </c>
      <c r="CD712">
        <v>6001</v>
      </c>
      <c r="CE712" t="s">
        <v>134</v>
      </c>
      <c r="CF712" s="3">
        <v>45999</v>
      </c>
      <c r="CI712">
        <v>1</v>
      </c>
      <c r="CJ712">
        <v>2</v>
      </c>
      <c r="CK712">
        <v>21</v>
      </c>
      <c r="CL712" t="s">
        <v>87</v>
      </c>
    </row>
    <row r="713" spans="1:90" x14ac:dyDescent="0.3">
      <c r="A713" t="s">
        <v>72</v>
      </c>
      <c r="B713" t="s">
        <v>73</v>
      </c>
      <c r="C713" t="s">
        <v>74</v>
      </c>
      <c r="E713" t="str">
        <f>"080069682915"</f>
        <v>080069682915</v>
      </c>
      <c r="F713" s="3">
        <v>45995</v>
      </c>
      <c r="G713">
        <v>202609</v>
      </c>
      <c r="H713" t="s">
        <v>75</v>
      </c>
      <c r="I713" t="s">
        <v>76</v>
      </c>
      <c r="J713" t="s">
        <v>77</v>
      </c>
      <c r="K713" t="s">
        <v>78</v>
      </c>
      <c r="L713" t="s">
        <v>100</v>
      </c>
      <c r="M713" t="s">
        <v>101</v>
      </c>
      <c r="N713" t="s">
        <v>498</v>
      </c>
      <c r="O713" t="s">
        <v>89</v>
      </c>
      <c r="P713" t="str">
        <f>"4170072022                    "</f>
        <v xml:space="preserve">4170072022                    </v>
      </c>
      <c r="Q713">
        <v>0</v>
      </c>
      <c r="R713">
        <v>0</v>
      </c>
      <c r="S713">
        <v>0</v>
      </c>
      <c r="T713">
        <v>0</v>
      </c>
      <c r="U713">
        <v>0</v>
      </c>
      <c r="V713">
        <v>0</v>
      </c>
      <c r="W713">
        <v>0</v>
      </c>
      <c r="X713">
        <v>0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0</v>
      </c>
      <c r="AE713">
        <v>0</v>
      </c>
      <c r="AF713">
        <v>0</v>
      </c>
      <c r="AG713">
        <v>0</v>
      </c>
      <c r="AH713">
        <v>0</v>
      </c>
      <c r="AI713">
        <v>0</v>
      </c>
      <c r="AJ713">
        <v>0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25.52</v>
      </c>
      <c r="AR713">
        <v>0</v>
      </c>
      <c r="AS713">
        <v>0</v>
      </c>
      <c r="AT713">
        <v>0</v>
      </c>
      <c r="AU713">
        <v>0</v>
      </c>
      <c r="AV713">
        <v>0</v>
      </c>
      <c r="AW713">
        <v>0</v>
      </c>
      <c r="AX713">
        <v>0</v>
      </c>
      <c r="AY713">
        <v>0</v>
      </c>
      <c r="AZ713">
        <v>0</v>
      </c>
      <c r="BA713">
        <v>0</v>
      </c>
      <c r="BB713">
        <v>0</v>
      </c>
      <c r="BC713">
        <v>0</v>
      </c>
      <c r="BD713">
        <v>0</v>
      </c>
      <c r="BE713">
        <v>0</v>
      </c>
      <c r="BF713">
        <v>0</v>
      </c>
      <c r="BG713">
        <v>0</v>
      </c>
      <c r="BH713">
        <v>1</v>
      </c>
      <c r="BI713">
        <v>1</v>
      </c>
      <c r="BJ713">
        <v>0.2</v>
      </c>
      <c r="BK713">
        <v>1</v>
      </c>
      <c r="BL713">
        <v>76.06</v>
      </c>
      <c r="BM713">
        <v>11.41</v>
      </c>
      <c r="BN713">
        <v>87.47</v>
      </c>
      <c r="BO713">
        <v>87.47</v>
      </c>
      <c r="BQ713" t="s">
        <v>499</v>
      </c>
      <c r="BR713" t="s">
        <v>82</v>
      </c>
      <c r="BS713" s="3">
        <v>45996</v>
      </c>
      <c r="BT713" s="4">
        <v>0.73124999999999996</v>
      </c>
      <c r="BU713" t="s">
        <v>1234</v>
      </c>
      <c r="BV713" t="s">
        <v>87</v>
      </c>
      <c r="BY713">
        <v>1200</v>
      </c>
      <c r="CA713" t="s">
        <v>248</v>
      </c>
      <c r="CC713" t="s">
        <v>101</v>
      </c>
      <c r="CD713">
        <v>4052</v>
      </c>
      <c r="CE713" t="s">
        <v>1477</v>
      </c>
      <c r="CF713" s="3">
        <v>45996</v>
      </c>
      <c r="CI713">
        <v>1</v>
      </c>
      <c r="CJ713">
        <v>1</v>
      </c>
      <c r="CK713">
        <v>21</v>
      </c>
      <c r="CL713" t="s">
        <v>87</v>
      </c>
    </row>
    <row r="714" spans="1:90" x14ac:dyDescent="0.3">
      <c r="A714" t="s">
        <v>72</v>
      </c>
      <c r="B714" t="s">
        <v>73</v>
      </c>
      <c r="C714" t="s">
        <v>74</v>
      </c>
      <c r="E714" t="str">
        <f>"080069682962"</f>
        <v>080069682962</v>
      </c>
      <c r="F714" s="3">
        <v>45995</v>
      </c>
      <c r="G714">
        <v>202609</v>
      </c>
      <c r="H714" t="s">
        <v>75</v>
      </c>
      <c r="I714" t="s">
        <v>76</v>
      </c>
      <c r="J714" t="s">
        <v>77</v>
      </c>
      <c r="K714" t="s">
        <v>78</v>
      </c>
      <c r="L714" t="s">
        <v>141</v>
      </c>
      <c r="M714" t="s">
        <v>142</v>
      </c>
      <c r="N714" t="s">
        <v>486</v>
      </c>
      <c r="O714" t="s">
        <v>89</v>
      </c>
      <c r="P714" t="str">
        <f>"4170072001                    "</f>
        <v xml:space="preserve">4170072001                    </v>
      </c>
      <c r="Q714">
        <v>0</v>
      </c>
      <c r="R714">
        <v>0</v>
      </c>
      <c r="S714">
        <v>0</v>
      </c>
      <c r="T714">
        <v>0</v>
      </c>
      <c r="U714">
        <v>0</v>
      </c>
      <c r="V714">
        <v>0</v>
      </c>
      <c r="W714">
        <v>0</v>
      </c>
      <c r="X714">
        <v>0</v>
      </c>
      <c r="Y714">
        <v>0</v>
      </c>
      <c r="Z714">
        <v>0</v>
      </c>
      <c r="AA714">
        <v>0</v>
      </c>
      <c r="AB714">
        <v>0</v>
      </c>
      <c r="AC714">
        <v>0</v>
      </c>
      <c r="AD714">
        <v>0</v>
      </c>
      <c r="AE714">
        <v>0</v>
      </c>
      <c r="AF714">
        <v>0</v>
      </c>
      <c r="AG714">
        <v>0</v>
      </c>
      <c r="AH714">
        <v>0</v>
      </c>
      <c r="AI714">
        <v>0</v>
      </c>
      <c r="AJ714">
        <v>0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25.52</v>
      </c>
      <c r="AR714">
        <v>0</v>
      </c>
      <c r="AS714">
        <v>0</v>
      </c>
      <c r="AT714">
        <v>0</v>
      </c>
      <c r="AU714">
        <v>0</v>
      </c>
      <c r="AV714">
        <v>0</v>
      </c>
      <c r="AW714">
        <v>0</v>
      </c>
      <c r="AX714">
        <v>0</v>
      </c>
      <c r="AY714">
        <v>0</v>
      </c>
      <c r="AZ714">
        <v>0</v>
      </c>
      <c r="BA714">
        <v>0</v>
      </c>
      <c r="BB714">
        <v>0</v>
      </c>
      <c r="BC714">
        <v>0</v>
      </c>
      <c r="BD714">
        <v>0</v>
      </c>
      <c r="BE714">
        <v>0</v>
      </c>
      <c r="BF714">
        <v>0</v>
      </c>
      <c r="BG714">
        <v>0</v>
      </c>
      <c r="BH714">
        <v>1</v>
      </c>
      <c r="BI714">
        <v>1</v>
      </c>
      <c r="BJ714">
        <v>0.2</v>
      </c>
      <c r="BK714">
        <v>1</v>
      </c>
      <c r="BL714">
        <v>76.06</v>
      </c>
      <c r="BM714">
        <v>11.41</v>
      </c>
      <c r="BN714">
        <v>87.47</v>
      </c>
      <c r="BO714">
        <v>87.47</v>
      </c>
      <c r="BQ714" t="s">
        <v>487</v>
      </c>
      <c r="BR714" t="s">
        <v>82</v>
      </c>
      <c r="BS714" t="s">
        <v>500</v>
      </c>
      <c r="BY714">
        <v>1200</v>
      </c>
      <c r="CC714" t="s">
        <v>142</v>
      </c>
      <c r="CD714">
        <v>6012</v>
      </c>
      <c r="CE714" t="s">
        <v>1478</v>
      </c>
      <c r="CI714">
        <v>1</v>
      </c>
      <c r="CJ714" t="s">
        <v>500</v>
      </c>
      <c r="CK714">
        <v>21</v>
      </c>
      <c r="CL714" t="s">
        <v>87</v>
      </c>
    </row>
    <row r="715" spans="1:90" x14ac:dyDescent="0.3">
      <c r="A715" t="s">
        <v>72</v>
      </c>
      <c r="B715" t="s">
        <v>73</v>
      </c>
      <c r="C715" t="s">
        <v>74</v>
      </c>
      <c r="E715" t="str">
        <f>"080069682983"</f>
        <v>080069682983</v>
      </c>
      <c r="F715" s="3">
        <v>45995</v>
      </c>
      <c r="G715">
        <v>202609</v>
      </c>
      <c r="H715" t="s">
        <v>75</v>
      </c>
      <c r="I715" t="s">
        <v>76</v>
      </c>
      <c r="J715" t="s">
        <v>77</v>
      </c>
      <c r="K715" t="s">
        <v>78</v>
      </c>
      <c r="L715" t="s">
        <v>156</v>
      </c>
      <c r="M715" t="s">
        <v>157</v>
      </c>
      <c r="N715" t="s">
        <v>880</v>
      </c>
      <c r="O715" t="s">
        <v>89</v>
      </c>
      <c r="P715" t="str">
        <f>"4170071996                    "</f>
        <v xml:space="preserve">4170071996                    </v>
      </c>
      <c r="Q715">
        <v>0</v>
      </c>
      <c r="R715">
        <v>0</v>
      </c>
      <c r="S715">
        <v>0</v>
      </c>
      <c r="T715">
        <v>0</v>
      </c>
      <c r="U715">
        <v>0</v>
      </c>
      <c r="V715">
        <v>0</v>
      </c>
      <c r="W715">
        <v>0</v>
      </c>
      <c r="X715">
        <v>0</v>
      </c>
      <c r="Y715">
        <v>0</v>
      </c>
      <c r="Z715">
        <v>0</v>
      </c>
      <c r="AA715">
        <v>0</v>
      </c>
      <c r="AB715">
        <v>0</v>
      </c>
      <c r="AC715">
        <v>0</v>
      </c>
      <c r="AD715">
        <v>0</v>
      </c>
      <c r="AE715">
        <v>0</v>
      </c>
      <c r="AF715">
        <v>0</v>
      </c>
      <c r="AG715">
        <v>0</v>
      </c>
      <c r="AH715">
        <v>0</v>
      </c>
      <c r="AI715">
        <v>0</v>
      </c>
      <c r="AJ715">
        <v>0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25.52</v>
      </c>
      <c r="AR715">
        <v>0</v>
      </c>
      <c r="AS715">
        <v>0</v>
      </c>
      <c r="AT715">
        <v>0</v>
      </c>
      <c r="AU715">
        <v>0</v>
      </c>
      <c r="AV715">
        <v>0</v>
      </c>
      <c r="AW715">
        <v>0</v>
      </c>
      <c r="AX715">
        <v>0</v>
      </c>
      <c r="AY715">
        <v>0</v>
      </c>
      <c r="AZ715">
        <v>0</v>
      </c>
      <c r="BA715">
        <v>0</v>
      </c>
      <c r="BB715">
        <v>0</v>
      </c>
      <c r="BC715">
        <v>0</v>
      </c>
      <c r="BD715">
        <v>0</v>
      </c>
      <c r="BE715">
        <v>0</v>
      </c>
      <c r="BF715">
        <v>0</v>
      </c>
      <c r="BG715">
        <v>0</v>
      </c>
      <c r="BH715">
        <v>1</v>
      </c>
      <c r="BI715">
        <v>1</v>
      </c>
      <c r="BJ715">
        <v>0.2</v>
      </c>
      <c r="BK715">
        <v>1</v>
      </c>
      <c r="BL715">
        <v>76.06</v>
      </c>
      <c r="BM715">
        <v>11.41</v>
      </c>
      <c r="BN715">
        <v>87.47</v>
      </c>
      <c r="BO715">
        <v>87.47</v>
      </c>
      <c r="BQ715" t="s">
        <v>881</v>
      </c>
      <c r="BR715" t="s">
        <v>82</v>
      </c>
      <c r="BS715" s="3">
        <v>45996</v>
      </c>
      <c r="BT715" s="4">
        <v>0.50555555555555554</v>
      </c>
      <c r="BU715" t="s">
        <v>1479</v>
      </c>
      <c r="BV715" t="s">
        <v>87</v>
      </c>
      <c r="BY715">
        <v>1200</v>
      </c>
      <c r="CA715" t="s">
        <v>668</v>
      </c>
      <c r="CC715" t="s">
        <v>157</v>
      </c>
      <c r="CD715">
        <v>7550</v>
      </c>
      <c r="CE715" t="s">
        <v>134</v>
      </c>
      <c r="CF715" s="3">
        <v>45999</v>
      </c>
      <c r="CI715">
        <v>1</v>
      </c>
      <c r="CJ715">
        <v>1</v>
      </c>
      <c r="CK715">
        <v>21</v>
      </c>
      <c r="CL715" t="s">
        <v>87</v>
      </c>
    </row>
    <row r="716" spans="1:90" x14ac:dyDescent="0.3">
      <c r="A716" t="s">
        <v>72</v>
      </c>
      <c r="B716" t="s">
        <v>73</v>
      </c>
      <c r="C716" t="s">
        <v>74</v>
      </c>
      <c r="E716" t="str">
        <f>"080011694338"</f>
        <v>080011694338</v>
      </c>
      <c r="F716" s="3">
        <v>45995</v>
      </c>
      <c r="G716">
        <v>202609</v>
      </c>
      <c r="H716" t="s">
        <v>75</v>
      </c>
      <c r="I716" t="s">
        <v>76</v>
      </c>
      <c r="J716" t="s">
        <v>1480</v>
      </c>
      <c r="K716" t="s">
        <v>78</v>
      </c>
      <c r="L716" t="s">
        <v>75</v>
      </c>
      <c r="M716" t="s">
        <v>76</v>
      </c>
      <c r="N716" t="s">
        <v>602</v>
      </c>
      <c r="O716" t="s">
        <v>89</v>
      </c>
      <c r="P716" t="str">
        <f>"-                             "</f>
        <v xml:space="preserve">-                             </v>
      </c>
      <c r="Q716">
        <v>0</v>
      </c>
      <c r="R716">
        <v>0</v>
      </c>
      <c r="S716">
        <v>0</v>
      </c>
      <c r="T716">
        <v>0</v>
      </c>
      <c r="U716">
        <v>0</v>
      </c>
      <c r="V716">
        <v>0</v>
      </c>
      <c r="W716">
        <v>0</v>
      </c>
      <c r="X716">
        <v>0</v>
      </c>
      <c r="Y716">
        <v>0</v>
      </c>
      <c r="Z716">
        <v>0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0</v>
      </c>
      <c r="AJ716">
        <v>0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19.940000000000001</v>
      </c>
      <c r="AR716">
        <v>0</v>
      </c>
      <c r="AS716">
        <v>0</v>
      </c>
      <c r="AT716">
        <v>0</v>
      </c>
      <c r="AU716">
        <v>0</v>
      </c>
      <c r="AV716">
        <v>0</v>
      </c>
      <c r="AW716">
        <v>0</v>
      </c>
      <c r="AX716">
        <v>0</v>
      </c>
      <c r="AY716">
        <v>0</v>
      </c>
      <c r="AZ716">
        <v>0</v>
      </c>
      <c r="BA716">
        <v>0</v>
      </c>
      <c r="BB716">
        <v>0</v>
      </c>
      <c r="BC716">
        <v>0</v>
      </c>
      <c r="BD716">
        <v>0</v>
      </c>
      <c r="BE716">
        <v>0</v>
      </c>
      <c r="BF716">
        <v>0</v>
      </c>
      <c r="BG716">
        <v>0</v>
      </c>
      <c r="BH716">
        <v>1</v>
      </c>
      <c r="BI716">
        <v>2</v>
      </c>
      <c r="BJ716">
        <v>7.2</v>
      </c>
      <c r="BK716">
        <v>8</v>
      </c>
      <c r="BL716">
        <v>59.42</v>
      </c>
      <c r="BM716">
        <v>8.91</v>
      </c>
      <c r="BN716">
        <v>68.33</v>
      </c>
      <c r="BO716">
        <v>68.33</v>
      </c>
      <c r="BQ716" t="s">
        <v>1481</v>
      </c>
      <c r="BR716" t="s">
        <v>1482</v>
      </c>
      <c r="BS716" s="3">
        <v>45996</v>
      </c>
      <c r="BT716" s="4">
        <v>0.39374999999999999</v>
      </c>
      <c r="BU716" t="s">
        <v>605</v>
      </c>
      <c r="BV716" t="s">
        <v>84</v>
      </c>
      <c r="BY716">
        <v>36000</v>
      </c>
      <c r="BZ716" t="s">
        <v>271</v>
      </c>
      <c r="CA716" t="s">
        <v>606</v>
      </c>
      <c r="CC716" t="s">
        <v>76</v>
      </c>
      <c r="CD716">
        <v>1619</v>
      </c>
      <c r="CE716" t="s">
        <v>607</v>
      </c>
      <c r="CF716" s="3">
        <v>45996</v>
      </c>
      <c r="CI716">
        <v>1</v>
      </c>
      <c r="CJ716">
        <v>1</v>
      </c>
      <c r="CK716">
        <v>22</v>
      </c>
      <c r="CL716" t="s">
        <v>87</v>
      </c>
    </row>
    <row r="717" spans="1:90" x14ac:dyDescent="0.3">
      <c r="A717" t="s">
        <v>72</v>
      </c>
      <c r="B717" t="s">
        <v>73</v>
      </c>
      <c r="C717" t="s">
        <v>74</v>
      </c>
      <c r="E717" t="str">
        <f>"080011697411"</f>
        <v>080011697411</v>
      </c>
      <c r="F717" s="3">
        <v>45995</v>
      </c>
      <c r="G717">
        <v>202609</v>
      </c>
      <c r="H717" t="s">
        <v>141</v>
      </c>
      <c r="I717" t="s">
        <v>142</v>
      </c>
      <c r="J717" t="s">
        <v>1483</v>
      </c>
      <c r="K717" t="s">
        <v>78</v>
      </c>
      <c r="L717" t="s">
        <v>75</v>
      </c>
      <c r="M717" t="s">
        <v>76</v>
      </c>
      <c r="N717" t="s">
        <v>602</v>
      </c>
      <c r="O717" t="s">
        <v>89</v>
      </c>
      <c r="P717" t="str">
        <f>"ZA1001431923                  "</f>
        <v xml:space="preserve">ZA1001431923                  </v>
      </c>
      <c r="Q717">
        <v>0</v>
      </c>
      <c r="R717">
        <v>0</v>
      </c>
      <c r="S717">
        <v>0</v>
      </c>
      <c r="T717">
        <v>0</v>
      </c>
      <c r="U717">
        <v>0</v>
      </c>
      <c r="V717">
        <v>0</v>
      </c>
      <c r="W717">
        <v>0</v>
      </c>
      <c r="X717">
        <v>0</v>
      </c>
      <c r="Y717">
        <v>0</v>
      </c>
      <c r="Z717">
        <v>0</v>
      </c>
      <c r="AA717">
        <v>0</v>
      </c>
      <c r="AB717">
        <v>0</v>
      </c>
      <c r="AC717">
        <v>0</v>
      </c>
      <c r="AD717">
        <v>0</v>
      </c>
      <c r="AE717">
        <v>0</v>
      </c>
      <c r="AF717">
        <v>0</v>
      </c>
      <c r="AG717">
        <v>0</v>
      </c>
      <c r="AH717">
        <v>0</v>
      </c>
      <c r="AI717">
        <v>0</v>
      </c>
      <c r="AJ717">
        <v>0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248.76</v>
      </c>
      <c r="AR717">
        <v>0</v>
      </c>
      <c r="AS717">
        <v>0</v>
      </c>
      <c r="AT717">
        <v>0</v>
      </c>
      <c r="AU717">
        <v>0</v>
      </c>
      <c r="AV717">
        <v>0</v>
      </c>
      <c r="AW717">
        <v>0</v>
      </c>
      <c r="AX717">
        <v>0</v>
      </c>
      <c r="AY717">
        <v>0</v>
      </c>
      <c r="AZ717">
        <v>0</v>
      </c>
      <c r="BA717">
        <v>0</v>
      </c>
      <c r="BB717">
        <v>0</v>
      </c>
      <c r="BC717">
        <v>0</v>
      </c>
      <c r="BD717">
        <v>0</v>
      </c>
      <c r="BE717">
        <v>0</v>
      </c>
      <c r="BF717">
        <v>0</v>
      </c>
      <c r="BG717">
        <v>0</v>
      </c>
      <c r="BH717">
        <v>4</v>
      </c>
      <c r="BI717">
        <v>14</v>
      </c>
      <c r="BJ717">
        <v>19.2</v>
      </c>
      <c r="BK717">
        <v>19.5</v>
      </c>
      <c r="BL717">
        <v>741.35</v>
      </c>
      <c r="BM717">
        <v>111.2</v>
      </c>
      <c r="BN717">
        <v>852.55</v>
      </c>
      <c r="BO717">
        <v>852.55</v>
      </c>
      <c r="BQ717" t="s">
        <v>603</v>
      </c>
      <c r="BR717" t="s">
        <v>1484</v>
      </c>
      <c r="BS717" s="3">
        <v>45996</v>
      </c>
      <c r="BT717" s="4">
        <v>0.4375</v>
      </c>
      <c r="BU717" t="s">
        <v>912</v>
      </c>
      <c r="BV717" t="s">
        <v>84</v>
      </c>
      <c r="BY717">
        <v>24000</v>
      </c>
      <c r="BZ717" t="s">
        <v>271</v>
      </c>
      <c r="CA717" t="s">
        <v>863</v>
      </c>
      <c r="CC717" t="s">
        <v>76</v>
      </c>
      <c r="CD717">
        <v>1619</v>
      </c>
      <c r="CE717" t="s">
        <v>607</v>
      </c>
      <c r="CF717" s="3">
        <v>45996</v>
      </c>
      <c r="CI717">
        <v>1</v>
      </c>
      <c r="CJ717">
        <v>1</v>
      </c>
      <c r="CK717">
        <v>21</v>
      </c>
      <c r="CL717" t="s">
        <v>87</v>
      </c>
    </row>
    <row r="718" spans="1:90" x14ac:dyDescent="0.3">
      <c r="A718" t="s">
        <v>72</v>
      </c>
      <c r="B718" t="s">
        <v>73</v>
      </c>
      <c r="C718" t="s">
        <v>74</v>
      </c>
      <c r="E718" t="str">
        <f>"080011697429"</f>
        <v>080011697429</v>
      </c>
      <c r="F718" s="3">
        <v>45995</v>
      </c>
      <c r="G718">
        <v>202609</v>
      </c>
      <c r="H718" t="s">
        <v>465</v>
      </c>
      <c r="I718" t="s">
        <v>466</v>
      </c>
      <c r="J718" t="s">
        <v>1485</v>
      </c>
      <c r="K718" t="s">
        <v>78</v>
      </c>
      <c r="L718" t="s">
        <v>75</v>
      </c>
      <c r="M718" t="s">
        <v>76</v>
      </c>
      <c r="N718" t="s">
        <v>602</v>
      </c>
      <c r="O718" t="s">
        <v>89</v>
      </c>
      <c r="P718" t="str">
        <f>"ZA1001431893                  "</f>
        <v xml:space="preserve">ZA1001431893                  </v>
      </c>
      <c r="Q718">
        <v>0</v>
      </c>
      <c r="R718">
        <v>0</v>
      </c>
      <c r="S718">
        <v>0</v>
      </c>
      <c r="T718">
        <v>0</v>
      </c>
      <c r="U718">
        <v>0</v>
      </c>
      <c r="V718">
        <v>0</v>
      </c>
      <c r="W718">
        <v>0</v>
      </c>
      <c r="X718">
        <v>0</v>
      </c>
      <c r="Y718">
        <v>0</v>
      </c>
      <c r="Z718">
        <v>0</v>
      </c>
      <c r="AA718">
        <v>0</v>
      </c>
      <c r="AB718">
        <v>0</v>
      </c>
      <c r="AC718">
        <v>0</v>
      </c>
      <c r="AD718">
        <v>0</v>
      </c>
      <c r="AE718">
        <v>0</v>
      </c>
      <c r="AF718">
        <v>0</v>
      </c>
      <c r="AG718">
        <v>0</v>
      </c>
      <c r="AH718">
        <v>0</v>
      </c>
      <c r="AI718">
        <v>0</v>
      </c>
      <c r="AJ718">
        <v>0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19.940000000000001</v>
      </c>
      <c r="AR718">
        <v>0</v>
      </c>
      <c r="AS718">
        <v>0</v>
      </c>
      <c r="AT718">
        <v>0</v>
      </c>
      <c r="AU718">
        <v>0</v>
      </c>
      <c r="AV718">
        <v>0</v>
      </c>
      <c r="AW718">
        <v>0</v>
      </c>
      <c r="AX718">
        <v>0</v>
      </c>
      <c r="AY718">
        <v>0</v>
      </c>
      <c r="AZ718">
        <v>0</v>
      </c>
      <c r="BA718">
        <v>0</v>
      </c>
      <c r="BB718">
        <v>0</v>
      </c>
      <c r="BC718">
        <v>0</v>
      </c>
      <c r="BD718">
        <v>0</v>
      </c>
      <c r="BE718">
        <v>0</v>
      </c>
      <c r="BF718">
        <v>0</v>
      </c>
      <c r="BG718">
        <v>0</v>
      </c>
      <c r="BH718">
        <v>1</v>
      </c>
      <c r="BI718">
        <v>3</v>
      </c>
      <c r="BJ718">
        <v>2.4</v>
      </c>
      <c r="BK718">
        <v>3</v>
      </c>
      <c r="BL718">
        <v>59.42</v>
      </c>
      <c r="BM718">
        <v>8.91</v>
      </c>
      <c r="BN718">
        <v>68.33</v>
      </c>
      <c r="BO718">
        <v>68.33</v>
      </c>
      <c r="BQ718" t="s">
        <v>603</v>
      </c>
      <c r="BR718" t="s">
        <v>1486</v>
      </c>
      <c r="BS718" s="3">
        <v>45996</v>
      </c>
      <c r="BT718" s="4">
        <v>0.39374999999999999</v>
      </c>
      <c r="BU718" t="s">
        <v>605</v>
      </c>
      <c r="BV718" t="s">
        <v>84</v>
      </c>
      <c r="BY718">
        <v>12000</v>
      </c>
      <c r="BZ718" t="s">
        <v>271</v>
      </c>
      <c r="CA718" t="s">
        <v>606</v>
      </c>
      <c r="CC718" t="s">
        <v>76</v>
      </c>
      <c r="CD718">
        <v>1619</v>
      </c>
      <c r="CE718" t="s">
        <v>607</v>
      </c>
      <c r="CF718" s="3">
        <v>45996</v>
      </c>
      <c r="CI718">
        <v>1</v>
      </c>
      <c r="CJ718">
        <v>1</v>
      </c>
      <c r="CK718">
        <v>22</v>
      </c>
      <c r="CL718" t="s">
        <v>87</v>
      </c>
    </row>
    <row r="719" spans="1:90" x14ac:dyDescent="0.3">
      <c r="A719" t="s">
        <v>72</v>
      </c>
      <c r="B719" t="s">
        <v>73</v>
      </c>
      <c r="C719" t="s">
        <v>74</v>
      </c>
      <c r="E719" t="str">
        <f>"080011698853"</f>
        <v>080011698853</v>
      </c>
      <c r="F719" s="3">
        <v>45995</v>
      </c>
      <c r="G719">
        <v>202609</v>
      </c>
      <c r="H719" t="s">
        <v>75</v>
      </c>
      <c r="I719" t="s">
        <v>76</v>
      </c>
      <c r="J719" t="s">
        <v>1487</v>
      </c>
      <c r="K719" t="s">
        <v>78</v>
      </c>
      <c r="L719" t="s">
        <v>75</v>
      </c>
      <c r="M719" t="s">
        <v>76</v>
      </c>
      <c r="N719" t="s">
        <v>602</v>
      </c>
      <c r="O719" t="s">
        <v>89</v>
      </c>
      <c r="P719" t="str">
        <f>"ZA1001431569                  "</f>
        <v xml:space="preserve">ZA1001431569                  </v>
      </c>
      <c r="Q719">
        <v>0</v>
      </c>
      <c r="R719">
        <v>0</v>
      </c>
      <c r="S719">
        <v>0</v>
      </c>
      <c r="T719">
        <v>0</v>
      </c>
      <c r="U719">
        <v>0</v>
      </c>
      <c r="V719">
        <v>0</v>
      </c>
      <c r="W719">
        <v>0</v>
      </c>
      <c r="X719">
        <v>0</v>
      </c>
      <c r="Y719">
        <v>0</v>
      </c>
      <c r="Z719">
        <v>0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0</v>
      </c>
      <c r="AG719">
        <v>0</v>
      </c>
      <c r="AH719">
        <v>0</v>
      </c>
      <c r="AI719">
        <v>0</v>
      </c>
      <c r="AJ719">
        <v>0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19.940000000000001</v>
      </c>
      <c r="AR719">
        <v>0</v>
      </c>
      <c r="AS719">
        <v>0</v>
      </c>
      <c r="AT719">
        <v>0</v>
      </c>
      <c r="AU719">
        <v>0</v>
      </c>
      <c r="AV719">
        <v>0</v>
      </c>
      <c r="AW719">
        <v>0</v>
      </c>
      <c r="AX719">
        <v>0</v>
      </c>
      <c r="AY719">
        <v>0</v>
      </c>
      <c r="AZ719">
        <v>0</v>
      </c>
      <c r="BA719">
        <v>0</v>
      </c>
      <c r="BB719">
        <v>0</v>
      </c>
      <c r="BC719">
        <v>0</v>
      </c>
      <c r="BD719">
        <v>0</v>
      </c>
      <c r="BE719">
        <v>0</v>
      </c>
      <c r="BF719">
        <v>0</v>
      </c>
      <c r="BG719">
        <v>0</v>
      </c>
      <c r="BH719">
        <v>1</v>
      </c>
      <c r="BI719">
        <v>3</v>
      </c>
      <c r="BJ719">
        <v>4.8</v>
      </c>
      <c r="BK719">
        <v>5</v>
      </c>
      <c r="BL719">
        <v>59.42</v>
      </c>
      <c r="BM719">
        <v>8.91</v>
      </c>
      <c r="BN719">
        <v>68.33</v>
      </c>
      <c r="BO719">
        <v>68.33</v>
      </c>
      <c r="BQ719" t="s">
        <v>603</v>
      </c>
      <c r="BR719" t="s">
        <v>1488</v>
      </c>
      <c r="BS719" s="3">
        <v>45996</v>
      </c>
      <c r="BT719" s="4">
        <v>0.39374999999999999</v>
      </c>
      <c r="BU719" t="s">
        <v>605</v>
      </c>
      <c r="BV719" t="s">
        <v>84</v>
      </c>
      <c r="BY719">
        <v>24000</v>
      </c>
      <c r="BZ719" t="s">
        <v>271</v>
      </c>
      <c r="CA719" t="s">
        <v>606</v>
      </c>
      <c r="CC719" t="s">
        <v>76</v>
      </c>
      <c r="CD719">
        <v>1619</v>
      </c>
      <c r="CE719" t="s">
        <v>607</v>
      </c>
      <c r="CF719" s="3">
        <v>45996</v>
      </c>
      <c r="CI719">
        <v>1</v>
      </c>
      <c r="CJ719">
        <v>1</v>
      </c>
      <c r="CK719">
        <v>22</v>
      </c>
      <c r="CL719" t="s">
        <v>87</v>
      </c>
    </row>
    <row r="720" spans="1:90" x14ac:dyDescent="0.3">
      <c r="A720" t="s">
        <v>72</v>
      </c>
      <c r="B720" t="s">
        <v>73</v>
      </c>
      <c r="C720" t="s">
        <v>74</v>
      </c>
      <c r="E720" t="str">
        <f>"080069683158"</f>
        <v>080069683158</v>
      </c>
      <c r="F720" s="3">
        <v>45995</v>
      </c>
      <c r="G720">
        <v>202609</v>
      </c>
      <c r="H720" t="s">
        <v>75</v>
      </c>
      <c r="I720" t="s">
        <v>76</v>
      </c>
      <c r="J720" t="s">
        <v>77</v>
      </c>
      <c r="K720" t="s">
        <v>78</v>
      </c>
      <c r="L720" t="s">
        <v>156</v>
      </c>
      <c r="M720" t="s">
        <v>157</v>
      </c>
      <c r="N720" t="s">
        <v>261</v>
      </c>
      <c r="O720" t="s">
        <v>89</v>
      </c>
      <c r="P720" t="str">
        <f>"4170072012                    "</f>
        <v xml:space="preserve">4170072012                    </v>
      </c>
      <c r="Q720">
        <v>0</v>
      </c>
      <c r="R720">
        <v>0</v>
      </c>
      <c r="S720">
        <v>0</v>
      </c>
      <c r="T720">
        <v>0</v>
      </c>
      <c r="U720">
        <v>0</v>
      </c>
      <c r="V720">
        <v>0</v>
      </c>
      <c r="W720">
        <v>0</v>
      </c>
      <c r="X720">
        <v>0</v>
      </c>
      <c r="Y720">
        <v>0</v>
      </c>
      <c r="Z720">
        <v>0</v>
      </c>
      <c r="AA720">
        <v>0</v>
      </c>
      <c r="AB720">
        <v>0</v>
      </c>
      <c r="AC720">
        <v>0</v>
      </c>
      <c r="AD720">
        <v>0</v>
      </c>
      <c r="AE720">
        <v>0</v>
      </c>
      <c r="AF720">
        <v>0</v>
      </c>
      <c r="AG720">
        <v>0</v>
      </c>
      <c r="AH720">
        <v>0</v>
      </c>
      <c r="AI720">
        <v>0</v>
      </c>
      <c r="AJ720">
        <v>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0</v>
      </c>
      <c r="AQ720">
        <v>108.44</v>
      </c>
      <c r="AR720">
        <v>0</v>
      </c>
      <c r="AS720">
        <v>0</v>
      </c>
      <c r="AT720">
        <v>0</v>
      </c>
      <c r="AU720">
        <v>0</v>
      </c>
      <c r="AV720">
        <v>0</v>
      </c>
      <c r="AW720">
        <v>0</v>
      </c>
      <c r="AX720">
        <v>0</v>
      </c>
      <c r="AY720">
        <v>0</v>
      </c>
      <c r="AZ720">
        <v>0</v>
      </c>
      <c r="BA720">
        <v>0</v>
      </c>
      <c r="BB720">
        <v>0</v>
      </c>
      <c r="BC720">
        <v>0</v>
      </c>
      <c r="BD720">
        <v>0</v>
      </c>
      <c r="BE720">
        <v>0</v>
      </c>
      <c r="BF720">
        <v>0</v>
      </c>
      <c r="BG720">
        <v>0</v>
      </c>
      <c r="BH720">
        <v>1</v>
      </c>
      <c r="BI720">
        <v>5</v>
      </c>
      <c r="BJ720">
        <v>8.1999999999999993</v>
      </c>
      <c r="BK720">
        <v>8.5</v>
      </c>
      <c r="BL720">
        <v>323.17</v>
      </c>
      <c r="BM720">
        <v>48.48</v>
      </c>
      <c r="BN720">
        <v>371.65</v>
      </c>
      <c r="BO720">
        <v>371.65</v>
      </c>
      <c r="BQ720" t="s">
        <v>262</v>
      </c>
      <c r="BR720" t="s">
        <v>82</v>
      </c>
      <c r="BS720" s="3">
        <v>45996</v>
      </c>
      <c r="BT720" s="4">
        <v>0.39861111111111114</v>
      </c>
      <c r="BU720" t="s">
        <v>263</v>
      </c>
      <c r="BV720" t="s">
        <v>84</v>
      </c>
      <c r="BY720">
        <v>40896</v>
      </c>
      <c r="CA720" t="s">
        <v>264</v>
      </c>
      <c r="CC720" t="s">
        <v>157</v>
      </c>
      <c r="CD720">
        <v>7441</v>
      </c>
      <c r="CE720" t="s">
        <v>86</v>
      </c>
      <c r="CF720" s="3">
        <v>45999</v>
      </c>
      <c r="CI720">
        <v>1</v>
      </c>
      <c r="CJ720">
        <v>1</v>
      </c>
      <c r="CK720">
        <v>21</v>
      </c>
      <c r="CL720" t="s">
        <v>87</v>
      </c>
    </row>
    <row r="721" spans="1:90" x14ac:dyDescent="0.3">
      <c r="A721" t="s">
        <v>72</v>
      </c>
      <c r="B721" t="s">
        <v>73</v>
      </c>
      <c r="C721" t="s">
        <v>74</v>
      </c>
      <c r="E721" t="str">
        <f>"080069683233"</f>
        <v>080069683233</v>
      </c>
      <c r="F721" s="3">
        <v>45995</v>
      </c>
      <c r="G721">
        <v>202609</v>
      </c>
      <c r="H721" t="s">
        <v>75</v>
      </c>
      <c r="I721" t="s">
        <v>76</v>
      </c>
      <c r="J721" t="s">
        <v>77</v>
      </c>
      <c r="K721" t="s">
        <v>78</v>
      </c>
      <c r="L721" t="s">
        <v>218</v>
      </c>
      <c r="M721" t="s">
        <v>219</v>
      </c>
      <c r="N721" t="s">
        <v>220</v>
      </c>
      <c r="O721" t="s">
        <v>89</v>
      </c>
      <c r="P721" t="str">
        <f>"4170072034                    "</f>
        <v xml:space="preserve">4170072034                    </v>
      </c>
      <c r="Q721">
        <v>0</v>
      </c>
      <c r="R721">
        <v>0</v>
      </c>
      <c r="S721">
        <v>0</v>
      </c>
      <c r="T721">
        <v>0</v>
      </c>
      <c r="U721">
        <v>0</v>
      </c>
      <c r="V721">
        <v>0</v>
      </c>
      <c r="W721">
        <v>0</v>
      </c>
      <c r="X721">
        <v>0</v>
      </c>
      <c r="Y721">
        <v>0</v>
      </c>
      <c r="Z721">
        <v>0</v>
      </c>
      <c r="AA721">
        <v>0</v>
      </c>
      <c r="AB721">
        <v>0</v>
      </c>
      <c r="AC721">
        <v>0</v>
      </c>
      <c r="AD721">
        <v>0</v>
      </c>
      <c r="AE721">
        <v>0</v>
      </c>
      <c r="AF721">
        <v>0</v>
      </c>
      <c r="AG721">
        <v>0</v>
      </c>
      <c r="AH721">
        <v>0</v>
      </c>
      <c r="AI721">
        <v>0</v>
      </c>
      <c r="AJ721">
        <v>0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49.45</v>
      </c>
      <c r="AR721">
        <v>0</v>
      </c>
      <c r="AS721">
        <v>0</v>
      </c>
      <c r="AT721">
        <v>0</v>
      </c>
      <c r="AU721">
        <v>0</v>
      </c>
      <c r="AV721">
        <v>0</v>
      </c>
      <c r="AW721">
        <v>0</v>
      </c>
      <c r="AX721">
        <v>0</v>
      </c>
      <c r="AY721">
        <v>0</v>
      </c>
      <c r="AZ721">
        <v>0</v>
      </c>
      <c r="BA721">
        <v>0</v>
      </c>
      <c r="BB721">
        <v>0</v>
      </c>
      <c r="BC721">
        <v>0</v>
      </c>
      <c r="BD721">
        <v>0</v>
      </c>
      <c r="BE721">
        <v>0</v>
      </c>
      <c r="BF721">
        <v>0</v>
      </c>
      <c r="BG721">
        <v>0</v>
      </c>
      <c r="BH721">
        <v>1</v>
      </c>
      <c r="BI721">
        <v>1</v>
      </c>
      <c r="BJ721">
        <v>0.2</v>
      </c>
      <c r="BK721">
        <v>1</v>
      </c>
      <c r="BL721">
        <v>147.38</v>
      </c>
      <c r="BM721">
        <v>22.11</v>
      </c>
      <c r="BN721">
        <v>169.49</v>
      </c>
      <c r="BO721">
        <v>169.49</v>
      </c>
      <c r="BQ721" t="s">
        <v>221</v>
      </c>
      <c r="BR721" t="s">
        <v>82</v>
      </c>
      <c r="BS721" s="3">
        <v>45996</v>
      </c>
      <c r="BT721" s="4">
        <v>0.31597222222222221</v>
      </c>
      <c r="BU721" t="s">
        <v>1294</v>
      </c>
      <c r="BV721" t="s">
        <v>84</v>
      </c>
      <c r="BY721">
        <v>1200</v>
      </c>
      <c r="CC721" t="s">
        <v>219</v>
      </c>
      <c r="CD721">
        <v>2740</v>
      </c>
      <c r="CE721" t="s">
        <v>134</v>
      </c>
      <c r="CF721" s="3">
        <v>45999</v>
      </c>
      <c r="CI721">
        <v>1</v>
      </c>
      <c r="CJ721">
        <v>1</v>
      </c>
      <c r="CK721">
        <v>23</v>
      </c>
      <c r="CL721" t="s">
        <v>87</v>
      </c>
    </row>
    <row r="722" spans="1:90" x14ac:dyDescent="0.3">
      <c r="A722" t="s">
        <v>72</v>
      </c>
      <c r="B722" t="s">
        <v>73</v>
      </c>
      <c r="C722" t="s">
        <v>74</v>
      </c>
      <c r="E722" t="str">
        <f>"080069683272"</f>
        <v>080069683272</v>
      </c>
      <c r="F722" s="3">
        <v>45995</v>
      </c>
      <c r="G722">
        <v>202609</v>
      </c>
      <c r="H722" t="s">
        <v>75</v>
      </c>
      <c r="I722" t="s">
        <v>76</v>
      </c>
      <c r="J722" t="s">
        <v>77</v>
      </c>
      <c r="K722" t="s">
        <v>78</v>
      </c>
      <c r="L722" t="s">
        <v>75</v>
      </c>
      <c r="M722" t="s">
        <v>76</v>
      </c>
      <c r="N722" t="s">
        <v>1164</v>
      </c>
      <c r="O722" t="s">
        <v>89</v>
      </c>
      <c r="P722" t="str">
        <f>"4170072032                    "</f>
        <v xml:space="preserve">4170072032                    </v>
      </c>
      <c r="Q722">
        <v>0</v>
      </c>
      <c r="R722">
        <v>0</v>
      </c>
      <c r="S722">
        <v>0</v>
      </c>
      <c r="T722">
        <v>0</v>
      </c>
      <c r="U722">
        <v>0</v>
      </c>
      <c r="V722">
        <v>0</v>
      </c>
      <c r="W722">
        <v>0</v>
      </c>
      <c r="X722">
        <v>0</v>
      </c>
      <c r="Y722">
        <v>0</v>
      </c>
      <c r="Z722">
        <v>0</v>
      </c>
      <c r="AA722">
        <v>0</v>
      </c>
      <c r="AB722">
        <v>0</v>
      </c>
      <c r="AC722">
        <v>0</v>
      </c>
      <c r="AD722">
        <v>0</v>
      </c>
      <c r="AE722">
        <v>0</v>
      </c>
      <c r="AF722">
        <v>0</v>
      </c>
      <c r="AG722">
        <v>0</v>
      </c>
      <c r="AH722">
        <v>0</v>
      </c>
      <c r="AI722">
        <v>0</v>
      </c>
      <c r="AJ722">
        <v>0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19.940000000000001</v>
      </c>
      <c r="AR722">
        <v>0</v>
      </c>
      <c r="AS722">
        <v>0</v>
      </c>
      <c r="AT722">
        <v>0</v>
      </c>
      <c r="AU722">
        <v>0</v>
      </c>
      <c r="AV722">
        <v>0</v>
      </c>
      <c r="AW722">
        <v>0</v>
      </c>
      <c r="AX722">
        <v>0</v>
      </c>
      <c r="AY722">
        <v>0</v>
      </c>
      <c r="AZ722">
        <v>0</v>
      </c>
      <c r="BA722">
        <v>0</v>
      </c>
      <c r="BB722">
        <v>0</v>
      </c>
      <c r="BC722">
        <v>0</v>
      </c>
      <c r="BD722">
        <v>0</v>
      </c>
      <c r="BE722">
        <v>0</v>
      </c>
      <c r="BF722">
        <v>0</v>
      </c>
      <c r="BG722">
        <v>0</v>
      </c>
      <c r="BH722">
        <v>1</v>
      </c>
      <c r="BI722">
        <v>1</v>
      </c>
      <c r="BJ722">
        <v>0.2</v>
      </c>
      <c r="BK722">
        <v>1</v>
      </c>
      <c r="BL722">
        <v>59.42</v>
      </c>
      <c r="BM722">
        <v>8.91</v>
      </c>
      <c r="BN722">
        <v>68.33</v>
      </c>
      <c r="BO722">
        <v>68.33</v>
      </c>
      <c r="BQ722" t="s">
        <v>1165</v>
      </c>
      <c r="BR722" t="s">
        <v>82</v>
      </c>
      <c r="BS722" s="3">
        <v>45996</v>
      </c>
      <c r="BT722" s="4">
        <v>0.2986111111111111</v>
      </c>
      <c r="BU722" t="s">
        <v>1288</v>
      </c>
      <c r="BV722" t="s">
        <v>84</v>
      </c>
      <c r="BY722">
        <v>1200</v>
      </c>
      <c r="CA722" t="s">
        <v>92</v>
      </c>
      <c r="CC722" t="s">
        <v>76</v>
      </c>
      <c r="CD722">
        <v>1600</v>
      </c>
      <c r="CE722" t="s">
        <v>134</v>
      </c>
      <c r="CF722" s="3">
        <v>45997</v>
      </c>
      <c r="CI722">
        <v>1</v>
      </c>
      <c r="CJ722">
        <v>1</v>
      </c>
      <c r="CK722">
        <v>22</v>
      </c>
      <c r="CL722" t="s">
        <v>87</v>
      </c>
    </row>
    <row r="723" spans="1:90" x14ac:dyDescent="0.3">
      <c r="A723" t="s">
        <v>72</v>
      </c>
      <c r="B723" t="s">
        <v>73</v>
      </c>
      <c r="C723" t="s">
        <v>74</v>
      </c>
      <c r="E723" t="str">
        <f>"080069683288"</f>
        <v>080069683288</v>
      </c>
      <c r="F723" s="3">
        <v>45995</v>
      </c>
      <c r="G723">
        <v>202609</v>
      </c>
      <c r="H723" t="s">
        <v>75</v>
      </c>
      <c r="I723" t="s">
        <v>76</v>
      </c>
      <c r="J723" t="s">
        <v>77</v>
      </c>
      <c r="K723" t="s">
        <v>78</v>
      </c>
      <c r="L723" t="s">
        <v>156</v>
      </c>
      <c r="M723" t="s">
        <v>157</v>
      </c>
      <c r="N723" t="s">
        <v>1489</v>
      </c>
      <c r="O723" t="s">
        <v>89</v>
      </c>
      <c r="P723" t="str">
        <f>"4170072028                    "</f>
        <v xml:space="preserve">4170072028                    </v>
      </c>
      <c r="Q723">
        <v>0</v>
      </c>
      <c r="R723">
        <v>0</v>
      </c>
      <c r="S723">
        <v>0</v>
      </c>
      <c r="T723">
        <v>0</v>
      </c>
      <c r="U723">
        <v>0</v>
      </c>
      <c r="V723">
        <v>0</v>
      </c>
      <c r="W723">
        <v>0</v>
      </c>
      <c r="X723">
        <v>0</v>
      </c>
      <c r="Y723">
        <v>0</v>
      </c>
      <c r="Z723">
        <v>0</v>
      </c>
      <c r="AA723">
        <v>0</v>
      </c>
      <c r="AB723">
        <v>0</v>
      </c>
      <c r="AC723">
        <v>0</v>
      </c>
      <c r="AD723">
        <v>0</v>
      </c>
      <c r="AE723">
        <v>0</v>
      </c>
      <c r="AF723">
        <v>0</v>
      </c>
      <c r="AG723">
        <v>0</v>
      </c>
      <c r="AH723">
        <v>0</v>
      </c>
      <c r="AI723">
        <v>0</v>
      </c>
      <c r="AJ723">
        <v>0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153.09</v>
      </c>
      <c r="AR723">
        <v>0</v>
      </c>
      <c r="AS723">
        <v>0</v>
      </c>
      <c r="AT723">
        <v>0</v>
      </c>
      <c r="AU723">
        <v>0</v>
      </c>
      <c r="AV723">
        <v>0</v>
      </c>
      <c r="AW723">
        <v>0</v>
      </c>
      <c r="AX723">
        <v>0</v>
      </c>
      <c r="AY723">
        <v>0</v>
      </c>
      <c r="AZ723">
        <v>0</v>
      </c>
      <c r="BA723">
        <v>0</v>
      </c>
      <c r="BB723">
        <v>0</v>
      </c>
      <c r="BC723">
        <v>0</v>
      </c>
      <c r="BD723">
        <v>0</v>
      </c>
      <c r="BE723">
        <v>0</v>
      </c>
      <c r="BF723">
        <v>0</v>
      </c>
      <c r="BG723">
        <v>0</v>
      </c>
      <c r="BH723">
        <v>1</v>
      </c>
      <c r="BI723">
        <v>12</v>
      </c>
      <c r="BJ723">
        <v>9.4</v>
      </c>
      <c r="BK723">
        <v>12</v>
      </c>
      <c r="BL723">
        <v>456.23</v>
      </c>
      <c r="BM723">
        <v>68.430000000000007</v>
      </c>
      <c r="BN723">
        <v>524.66</v>
      </c>
      <c r="BO723">
        <v>524.66</v>
      </c>
      <c r="BQ723" t="s">
        <v>1490</v>
      </c>
      <c r="BR723" t="s">
        <v>82</v>
      </c>
      <c r="BS723" s="3">
        <v>45996</v>
      </c>
      <c r="BT723" s="4">
        <v>0.64652777777777781</v>
      </c>
      <c r="BU723" t="s">
        <v>1491</v>
      </c>
      <c r="BV723" t="s">
        <v>87</v>
      </c>
      <c r="BY723">
        <v>46800</v>
      </c>
      <c r="CA723" t="s">
        <v>1209</v>
      </c>
      <c r="CC723" t="s">
        <v>157</v>
      </c>
      <c r="CD723">
        <v>7945</v>
      </c>
      <c r="CE723" t="s">
        <v>546</v>
      </c>
      <c r="CF723" s="3">
        <v>45999</v>
      </c>
      <c r="CI723">
        <v>1</v>
      </c>
      <c r="CJ723">
        <v>1</v>
      </c>
      <c r="CK723">
        <v>21</v>
      </c>
      <c r="CL723" t="s">
        <v>87</v>
      </c>
    </row>
    <row r="724" spans="1:90" x14ac:dyDescent="0.3">
      <c r="A724" t="s">
        <v>72</v>
      </c>
      <c r="B724" t="s">
        <v>73</v>
      </c>
      <c r="C724" t="s">
        <v>74</v>
      </c>
      <c r="E724" t="str">
        <f>"080069683331"</f>
        <v>080069683331</v>
      </c>
      <c r="F724" s="3">
        <v>45995</v>
      </c>
      <c r="G724">
        <v>202609</v>
      </c>
      <c r="H724" t="s">
        <v>75</v>
      </c>
      <c r="I724" t="s">
        <v>76</v>
      </c>
      <c r="J724" t="s">
        <v>77</v>
      </c>
      <c r="K724" t="s">
        <v>78</v>
      </c>
      <c r="L724" t="s">
        <v>100</v>
      </c>
      <c r="M724" t="s">
        <v>101</v>
      </c>
      <c r="N724" t="s">
        <v>498</v>
      </c>
      <c r="O724" t="s">
        <v>89</v>
      </c>
      <c r="P724" t="str">
        <f>"4170072023                    "</f>
        <v xml:space="preserve">4170072023                    </v>
      </c>
      <c r="Q724">
        <v>0</v>
      </c>
      <c r="R724">
        <v>0</v>
      </c>
      <c r="S724">
        <v>0</v>
      </c>
      <c r="T724">
        <v>0</v>
      </c>
      <c r="U724">
        <v>0</v>
      </c>
      <c r="V724">
        <v>0</v>
      </c>
      <c r="W724">
        <v>0</v>
      </c>
      <c r="X724">
        <v>0</v>
      </c>
      <c r="Y724">
        <v>0</v>
      </c>
      <c r="Z724">
        <v>0</v>
      </c>
      <c r="AA724">
        <v>0</v>
      </c>
      <c r="AB724">
        <v>0</v>
      </c>
      <c r="AC724">
        <v>0</v>
      </c>
      <c r="AD724">
        <v>0</v>
      </c>
      <c r="AE724">
        <v>0</v>
      </c>
      <c r="AF724">
        <v>0</v>
      </c>
      <c r="AG724">
        <v>0</v>
      </c>
      <c r="AH724">
        <v>0</v>
      </c>
      <c r="AI724">
        <v>0</v>
      </c>
      <c r="AJ724">
        <v>0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25.52</v>
      </c>
      <c r="AR724">
        <v>0</v>
      </c>
      <c r="AS724">
        <v>0</v>
      </c>
      <c r="AT724">
        <v>0</v>
      </c>
      <c r="AU724">
        <v>0</v>
      </c>
      <c r="AV724">
        <v>0</v>
      </c>
      <c r="AW724">
        <v>0</v>
      </c>
      <c r="AX724">
        <v>0</v>
      </c>
      <c r="AY724">
        <v>0</v>
      </c>
      <c r="AZ724">
        <v>0</v>
      </c>
      <c r="BA724">
        <v>0</v>
      </c>
      <c r="BB724">
        <v>0</v>
      </c>
      <c r="BC724">
        <v>0</v>
      </c>
      <c r="BD724">
        <v>0</v>
      </c>
      <c r="BE724">
        <v>0</v>
      </c>
      <c r="BF724">
        <v>0</v>
      </c>
      <c r="BG724">
        <v>0</v>
      </c>
      <c r="BH724">
        <v>1</v>
      </c>
      <c r="BI724">
        <v>1</v>
      </c>
      <c r="BJ724">
        <v>0.2</v>
      </c>
      <c r="BK724">
        <v>1</v>
      </c>
      <c r="BL724">
        <v>76.06</v>
      </c>
      <c r="BM724">
        <v>11.41</v>
      </c>
      <c r="BN724">
        <v>87.47</v>
      </c>
      <c r="BO724">
        <v>87.47</v>
      </c>
      <c r="BQ724" t="s">
        <v>499</v>
      </c>
      <c r="BR724" t="s">
        <v>82</v>
      </c>
      <c r="BS724" s="3">
        <v>45996</v>
      </c>
      <c r="BT724" s="4">
        <v>0.73888888888888893</v>
      </c>
      <c r="BU724" t="s">
        <v>1234</v>
      </c>
      <c r="BV724" t="s">
        <v>87</v>
      </c>
      <c r="BY724">
        <v>1200</v>
      </c>
      <c r="CA724" t="s">
        <v>248</v>
      </c>
      <c r="CC724" t="s">
        <v>101</v>
      </c>
      <c r="CD724">
        <v>4052</v>
      </c>
      <c r="CE724" t="s">
        <v>134</v>
      </c>
      <c r="CF724" s="3">
        <v>45996</v>
      </c>
      <c r="CI724">
        <v>1</v>
      </c>
      <c r="CJ724">
        <v>1</v>
      </c>
      <c r="CK724">
        <v>21</v>
      </c>
      <c r="CL724" t="s">
        <v>87</v>
      </c>
    </row>
    <row r="725" spans="1:90" x14ac:dyDescent="0.3">
      <c r="A725" t="s">
        <v>72</v>
      </c>
      <c r="B725" t="s">
        <v>73</v>
      </c>
      <c r="C725" t="s">
        <v>74</v>
      </c>
      <c r="E725" t="str">
        <f>"080069683352"</f>
        <v>080069683352</v>
      </c>
      <c r="F725" s="3">
        <v>45995</v>
      </c>
      <c r="G725">
        <v>202609</v>
      </c>
      <c r="H725" t="s">
        <v>75</v>
      </c>
      <c r="I725" t="s">
        <v>76</v>
      </c>
      <c r="J725" t="s">
        <v>77</v>
      </c>
      <c r="K725" t="s">
        <v>78</v>
      </c>
      <c r="L725" t="s">
        <v>156</v>
      </c>
      <c r="M725" t="s">
        <v>157</v>
      </c>
      <c r="N725" t="s">
        <v>1384</v>
      </c>
      <c r="O725" t="s">
        <v>89</v>
      </c>
      <c r="P725" t="str">
        <f>"4170071986                    "</f>
        <v xml:space="preserve">4170071986                    </v>
      </c>
      <c r="Q725">
        <v>0</v>
      </c>
      <c r="R725">
        <v>0</v>
      </c>
      <c r="S725">
        <v>0</v>
      </c>
      <c r="T725">
        <v>0</v>
      </c>
      <c r="U725">
        <v>0</v>
      </c>
      <c r="V725">
        <v>0</v>
      </c>
      <c r="W725">
        <v>0</v>
      </c>
      <c r="X725">
        <v>0</v>
      </c>
      <c r="Y725">
        <v>0</v>
      </c>
      <c r="Z725">
        <v>0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0</v>
      </c>
      <c r="AJ725">
        <v>0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204.11</v>
      </c>
      <c r="AR725">
        <v>0</v>
      </c>
      <c r="AS725">
        <v>0</v>
      </c>
      <c r="AT725">
        <v>0</v>
      </c>
      <c r="AU725">
        <v>0</v>
      </c>
      <c r="AV725">
        <v>0</v>
      </c>
      <c r="AW725">
        <v>0</v>
      </c>
      <c r="AX725">
        <v>0</v>
      </c>
      <c r="AY725">
        <v>0</v>
      </c>
      <c r="AZ725">
        <v>0</v>
      </c>
      <c r="BA725">
        <v>0</v>
      </c>
      <c r="BB725">
        <v>0</v>
      </c>
      <c r="BC725">
        <v>0</v>
      </c>
      <c r="BD725">
        <v>0</v>
      </c>
      <c r="BE725">
        <v>0</v>
      </c>
      <c r="BF725">
        <v>0</v>
      </c>
      <c r="BG725">
        <v>0</v>
      </c>
      <c r="BH725">
        <v>1</v>
      </c>
      <c r="BI725">
        <v>16</v>
      </c>
      <c r="BJ725">
        <v>3.4</v>
      </c>
      <c r="BK725">
        <v>16</v>
      </c>
      <c r="BL725">
        <v>608.29</v>
      </c>
      <c r="BM725">
        <v>91.24</v>
      </c>
      <c r="BN725">
        <v>699.53</v>
      </c>
      <c r="BO725">
        <v>699.53</v>
      </c>
      <c r="BQ725" t="s">
        <v>1385</v>
      </c>
      <c r="BR725" t="s">
        <v>82</v>
      </c>
      <c r="BS725" s="3">
        <v>45996</v>
      </c>
      <c r="BT725" s="4">
        <v>0.55277777777777781</v>
      </c>
      <c r="BU725" t="s">
        <v>1386</v>
      </c>
      <c r="BV725" t="s">
        <v>87</v>
      </c>
      <c r="BY725">
        <v>16965</v>
      </c>
      <c r="CA725" t="s">
        <v>1009</v>
      </c>
      <c r="CC725" t="s">
        <v>157</v>
      </c>
      <c r="CD725">
        <v>7460</v>
      </c>
      <c r="CE725" t="s">
        <v>86</v>
      </c>
      <c r="CF725" s="3">
        <v>45999</v>
      </c>
      <c r="CI725">
        <v>1</v>
      </c>
      <c r="CJ725">
        <v>1</v>
      </c>
      <c r="CK725">
        <v>21</v>
      </c>
      <c r="CL725" t="s">
        <v>87</v>
      </c>
    </row>
    <row r="726" spans="1:90" x14ac:dyDescent="0.3">
      <c r="A726" t="s">
        <v>72</v>
      </c>
      <c r="B726" t="s">
        <v>73</v>
      </c>
      <c r="C726" t="s">
        <v>74</v>
      </c>
      <c r="E726" t="str">
        <f>"080069683365"</f>
        <v>080069683365</v>
      </c>
      <c r="F726" s="3">
        <v>45995</v>
      </c>
      <c r="G726">
        <v>202609</v>
      </c>
      <c r="H726" t="s">
        <v>75</v>
      </c>
      <c r="I726" t="s">
        <v>76</v>
      </c>
      <c r="J726" t="s">
        <v>77</v>
      </c>
      <c r="K726" t="s">
        <v>78</v>
      </c>
      <c r="L726" t="s">
        <v>535</v>
      </c>
      <c r="M726" t="s">
        <v>535</v>
      </c>
      <c r="N726" t="s">
        <v>556</v>
      </c>
      <c r="O726" t="s">
        <v>89</v>
      </c>
      <c r="P726" t="str">
        <f>"4170072024                    "</f>
        <v xml:space="preserve">4170072024                    </v>
      </c>
      <c r="Q726">
        <v>0</v>
      </c>
      <c r="R726">
        <v>0</v>
      </c>
      <c r="S726">
        <v>0</v>
      </c>
      <c r="T726">
        <v>0</v>
      </c>
      <c r="U726">
        <v>0</v>
      </c>
      <c r="V726">
        <v>0</v>
      </c>
      <c r="W726">
        <v>0</v>
      </c>
      <c r="X726">
        <v>0</v>
      </c>
      <c r="Y726">
        <v>0</v>
      </c>
      <c r="Z726">
        <v>0</v>
      </c>
      <c r="AA726">
        <v>0</v>
      </c>
      <c r="AB726">
        <v>0</v>
      </c>
      <c r="AC726">
        <v>0</v>
      </c>
      <c r="AD726">
        <v>0</v>
      </c>
      <c r="AE726">
        <v>0</v>
      </c>
      <c r="AF726">
        <v>0</v>
      </c>
      <c r="AG726">
        <v>0</v>
      </c>
      <c r="AH726">
        <v>0</v>
      </c>
      <c r="AI726">
        <v>0</v>
      </c>
      <c r="AJ726">
        <v>0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49.45</v>
      </c>
      <c r="AR726">
        <v>0</v>
      </c>
      <c r="AS726">
        <v>0</v>
      </c>
      <c r="AT726">
        <v>0</v>
      </c>
      <c r="AU726">
        <v>0</v>
      </c>
      <c r="AV726">
        <v>0</v>
      </c>
      <c r="AW726">
        <v>0</v>
      </c>
      <c r="AX726">
        <v>0</v>
      </c>
      <c r="AY726">
        <v>0</v>
      </c>
      <c r="AZ726">
        <v>0</v>
      </c>
      <c r="BA726">
        <v>0</v>
      </c>
      <c r="BB726">
        <v>0</v>
      </c>
      <c r="BC726">
        <v>0</v>
      </c>
      <c r="BD726">
        <v>0</v>
      </c>
      <c r="BE726">
        <v>0</v>
      </c>
      <c r="BF726">
        <v>0</v>
      </c>
      <c r="BG726">
        <v>0</v>
      </c>
      <c r="BH726">
        <v>1</v>
      </c>
      <c r="BI726">
        <v>1</v>
      </c>
      <c r="BJ726">
        <v>0.2</v>
      </c>
      <c r="BK726">
        <v>1</v>
      </c>
      <c r="BL726">
        <v>147.38</v>
      </c>
      <c r="BM726">
        <v>22.11</v>
      </c>
      <c r="BN726">
        <v>169.49</v>
      </c>
      <c r="BO726">
        <v>169.49</v>
      </c>
      <c r="BQ726" t="s">
        <v>557</v>
      </c>
      <c r="BR726" t="s">
        <v>82</v>
      </c>
      <c r="BS726" s="3">
        <v>45996</v>
      </c>
      <c r="BT726" s="4">
        <v>0.72638888888888886</v>
      </c>
      <c r="BU726" t="s">
        <v>1239</v>
      </c>
      <c r="BV726" t="s">
        <v>87</v>
      </c>
      <c r="BY726">
        <v>1200</v>
      </c>
      <c r="CA726" t="s">
        <v>539</v>
      </c>
      <c r="CC726" t="s">
        <v>535</v>
      </c>
      <c r="CD726">
        <v>7646</v>
      </c>
      <c r="CE726" t="s">
        <v>134</v>
      </c>
      <c r="CF726" s="3">
        <v>45999</v>
      </c>
      <c r="CI726">
        <v>1</v>
      </c>
      <c r="CJ726">
        <v>1</v>
      </c>
      <c r="CK726">
        <v>23</v>
      </c>
      <c r="CL726" t="s">
        <v>87</v>
      </c>
    </row>
    <row r="727" spans="1:90" x14ac:dyDescent="0.3">
      <c r="A727" t="s">
        <v>72</v>
      </c>
      <c r="B727" t="s">
        <v>73</v>
      </c>
      <c r="C727" t="s">
        <v>74</v>
      </c>
      <c r="E727" t="str">
        <f>"080069683379"</f>
        <v>080069683379</v>
      </c>
      <c r="F727" s="3">
        <v>45995</v>
      </c>
      <c r="G727">
        <v>202609</v>
      </c>
      <c r="H727" t="s">
        <v>75</v>
      </c>
      <c r="I727" t="s">
        <v>76</v>
      </c>
      <c r="J727" t="s">
        <v>77</v>
      </c>
      <c r="K727" t="s">
        <v>78</v>
      </c>
      <c r="L727" t="s">
        <v>1120</v>
      </c>
      <c r="M727" t="s">
        <v>1121</v>
      </c>
      <c r="N727" t="s">
        <v>234</v>
      </c>
      <c r="O727" t="s">
        <v>89</v>
      </c>
      <c r="P727" t="str">
        <f>"4170072011                    "</f>
        <v xml:space="preserve">4170072011                    </v>
      </c>
      <c r="Q727">
        <v>0</v>
      </c>
      <c r="R727">
        <v>0</v>
      </c>
      <c r="S727">
        <v>0</v>
      </c>
      <c r="T727">
        <v>0</v>
      </c>
      <c r="U727">
        <v>0</v>
      </c>
      <c r="V727">
        <v>0</v>
      </c>
      <c r="W727">
        <v>0</v>
      </c>
      <c r="X727">
        <v>0</v>
      </c>
      <c r="Y727">
        <v>0</v>
      </c>
      <c r="Z727">
        <v>0</v>
      </c>
      <c r="AA727">
        <v>0</v>
      </c>
      <c r="AB727">
        <v>0</v>
      </c>
      <c r="AC727">
        <v>0</v>
      </c>
      <c r="AD727">
        <v>0</v>
      </c>
      <c r="AE727">
        <v>0</v>
      </c>
      <c r="AF727">
        <v>0</v>
      </c>
      <c r="AG727">
        <v>0</v>
      </c>
      <c r="AH727">
        <v>0</v>
      </c>
      <c r="AI727">
        <v>0</v>
      </c>
      <c r="AJ727">
        <v>0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138.78</v>
      </c>
      <c r="AR727">
        <v>0</v>
      </c>
      <c r="AS727">
        <v>0</v>
      </c>
      <c r="AT727">
        <v>0</v>
      </c>
      <c r="AU727">
        <v>0</v>
      </c>
      <c r="AV727">
        <v>0</v>
      </c>
      <c r="AW727">
        <v>0</v>
      </c>
      <c r="AX727">
        <v>0</v>
      </c>
      <c r="AY727">
        <v>0</v>
      </c>
      <c r="AZ727">
        <v>0</v>
      </c>
      <c r="BA727">
        <v>0</v>
      </c>
      <c r="BB727">
        <v>0</v>
      </c>
      <c r="BC727">
        <v>0</v>
      </c>
      <c r="BD727">
        <v>0</v>
      </c>
      <c r="BE727">
        <v>0</v>
      </c>
      <c r="BF727">
        <v>0</v>
      </c>
      <c r="BG727">
        <v>0</v>
      </c>
      <c r="BH727">
        <v>1</v>
      </c>
      <c r="BI727">
        <v>6</v>
      </c>
      <c r="BJ727">
        <v>3.1</v>
      </c>
      <c r="BK727">
        <v>6</v>
      </c>
      <c r="BL727">
        <v>413.59</v>
      </c>
      <c r="BM727">
        <v>62.04</v>
      </c>
      <c r="BN727">
        <v>475.63</v>
      </c>
      <c r="BO727">
        <v>475.63</v>
      </c>
      <c r="BQ727" t="s">
        <v>235</v>
      </c>
      <c r="BR727" t="s">
        <v>82</v>
      </c>
      <c r="BS727" s="3">
        <v>45996</v>
      </c>
      <c r="BT727" s="4">
        <v>0.4236111111111111</v>
      </c>
      <c r="BU727" t="s">
        <v>1492</v>
      </c>
      <c r="BV727" t="s">
        <v>84</v>
      </c>
      <c r="BY727">
        <v>15360</v>
      </c>
      <c r="CC727" t="s">
        <v>1121</v>
      </c>
      <c r="CD727" s="5" t="s">
        <v>1125</v>
      </c>
      <c r="CE727" t="s">
        <v>86</v>
      </c>
      <c r="CF727" s="3">
        <v>45997</v>
      </c>
      <c r="CI727">
        <v>1</v>
      </c>
      <c r="CJ727">
        <v>1</v>
      </c>
      <c r="CK727">
        <v>23</v>
      </c>
      <c r="CL727" t="s">
        <v>87</v>
      </c>
    </row>
    <row r="728" spans="1:90" x14ac:dyDescent="0.3">
      <c r="A728" t="s">
        <v>72</v>
      </c>
      <c r="B728" t="s">
        <v>73</v>
      </c>
      <c r="C728" t="s">
        <v>74</v>
      </c>
      <c r="E728" t="str">
        <f>"080069683377"</f>
        <v>080069683377</v>
      </c>
      <c r="F728" s="3">
        <v>45995</v>
      </c>
      <c r="G728">
        <v>202609</v>
      </c>
      <c r="H728" t="s">
        <v>75</v>
      </c>
      <c r="I728" t="s">
        <v>76</v>
      </c>
      <c r="J728" t="s">
        <v>77</v>
      </c>
      <c r="K728" t="s">
        <v>78</v>
      </c>
      <c r="L728" t="s">
        <v>141</v>
      </c>
      <c r="M728" t="s">
        <v>142</v>
      </c>
      <c r="N728" t="s">
        <v>819</v>
      </c>
      <c r="O728" t="s">
        <v>89</v>
      </c>
      <c r="P728" t="str">
        <f>"4170072037                    "</f>
        <v xml:space="preserve">4170072037                    </v>
      </c>
      <c r="Q728">
        <v>0</v>
      </c>
      <c r="R728">
        <v>0</v>
      </c>
      <c r="S728">
        <v>0</v>
      </c>
      <c r="T728">
        <v>0</v>
      </c>
      <c r="U728">
        <v>0</v>
      </c>
      <c r="V728">
        <v>0</v>
      </c>
      <c r="W728">
        <v>0</v>
      </c>
      <c r="X728">
        <v>0</v>
      </c>
      <c r="Y728">
        <v>0</v>
      </c>
      <c r="Z728">
        <v>0</v>
      </c>
      <c r="AA728">
        <v>0</v>
      </c>
      <c r="AB728">
        <v>0</v>
      </c>
      <c r="AC728">
        <v>0</v>
      </c>
      <c r="AD728">
        <v>0</v>
      </c>
      <c r="AE728">
        <v>0</v>
      </c>
      <c r="AF728">
        <v>0</v>
      </c>
      <c r="AG728">
        <v>0</v>
      </c>
      <c r="AH728">
        <v>0</v>
      </c>
      <c r="AI728">
        <v>0</v>
      </c>
      <c r="AJ728">
        <v>0</v>
      </c>
      <c r="AK728">
        <v>0</v>
      </c>
      <c r="AL728">
        <v>0</v>
      </c>
      <c r="AM728">
        <v>0</v>
      </c>
      <c r="AN728">
        <v>0</v>
      </c>
      <c r="AO728">
        <v>0</v>
      </c>
      <c r="AP728">
        <v>0</v>
      </c>
      <c r="AQ728">
        <v>76.55</v>
      </c>
      <c r="AR728">
        <v>0</v>
      </c>
      <c r="AS728">
        <v>0</v>
      </c>
      <c r="AT728">
        <v>0</v>
      </c>
      <c r="AU728">
        <v>0</v>
      </c>
      <c r="AV728">
        <v>0</v>
      </c>
      <c r="AW728">
        <v>0</v>
      </c>
      <c r="AX728">
        <v>0</v>
      </c>
      <c r="AY728">
        <v>0</v>
      </c>
      <c r="AZ728">
        <v>0</v>
      </c>
      <c r="BA728">
        <v>0</v>
      </c>
      <c r="BB728">
        <v>0</v>
      </c>
      <c r="BC728">
        <v>0</v>
      </c>
      <c r="BD728">
        <v>0</v>
      </c>
      <c r="BE728">
        <v>0</v>
      </c>
      <c r="BF728">
        <v>0</v>
      </c>
      <c r="BG728">
        <v>0</v>
      </c>
      <c r="BH728">
        <v>2</v>
      </c>
      <c r="BI728">
        <v>3</v>
      </c>
      <c r="BJ728">
        <v>6</v>
      </c>
      <c r="BK728">
        <v>6</v>
      </c>
      <c r="BL728">
        <v>228.13</v>
      </c>
      <c r="BM728">
        <v>34.22</v>
      </c>
      <c r="BN728">
        <v>262.35000000000002</v>
      </c>
      <c r="BO728">
        <v>262.35000000000002</v>
      </c>
      <c r="BQ728" t="s">
        <v>820</v>
      </c>
      <c r="BR728" t="s">
        <v>82</v>
      </c>
      <c r="BS728" s="3">
        <v>45996</v>
      </c>
      <c r="BT728" s="4">
        <v>0.60069444444444442</v>
      </c>
      <c r="BU728" t="s">
        <v>1493</v>
      </c>
      <c r="BV728" t="s">
        <v>87</v>
      </c>
      <c r="BY728">
        <v>29934</v>
      </c>
      <c r="CA728" t="s">
        <v>327</v>
      </c>
      <c r="CC728" t="s">
        <v>142</v>
      </c>
      <c r="CD728">
        <v>6020</v>
      </c>
      <c r="CE728" t="s">
        <v>86</v>
      </c>
      <c r="CF728" s="3">
        <v>45996</v>
      </c>
      <c r="CI728">
        <v>1</v>
      </c>
      <c r="CJ728">
        <v>1</v>
      </c>
      <c r="CK728">
        <v>21</v>
      </c>
      <c r="CL728" t="s">
        <v>87</v>
      </c>
    </row>
    <row r="729" spans="1:90" x14ac:dyDescent="0.3">
      <c r="A729" t="s">
        <v>72</v>
      </c>
      <c r="B729" t="s">
        <v>73</v>
      </c>
      <c r="C729" t="s">
        <v>74</v>
      </c>
      <c r="E729" t="str">
        <f>"080069683402"</f>
        <v>080069683402</v>
      </c>
      <c r="F729" s="3">
        <v>45995</v>
      </c>
      <c r="G729">
        <v>202609</v>
      </c>
      <c r="H729" t="s">
        <v>75</v>
      </c>
      <c r="I729" t="s">
        <v>76</v>
      </c>
      <c r="J729" t="s">
        <v>77</v>
      </c>
      <c r="K729" t="s">
        <v>78</v>
      </c>
      <c r="L729" t="s">
        <v>156</v>
      </c>
      <c r="M729" t="s">
        <v>157</v>
      </c>
      <c r="N729" t="s">
        <v>964</v>
      </c>
      <c r="O729" t="s">
        <v>89</v>
      </c>
      <c r="P729" t="str">
        <f>"4170072048                    "</f>
        <v xml:space="preserve">4170072048                    </v>
      </c>
      <c r="Q729">
        <v>0</v>
      </c>
      <c r="R729">
        <v>0</v>
      </c>
      <c r="S729">
        <v>0</v>
      </c>
      <c r="T729">
        <v>0</v>
      </c>
      <c r="U729">
        <v>0</v>
      </c>
      <c r="V729">
        <v>0</v>
      </c>
      <c r="W729">
        <v>0</v>
      </c>
      <c r="X729">
        <v>0</v>
      </c>
      <c r="Y729">
        <v>0</v>
      </c>
      <c r="Z729">
        <v>0</v>
      </c>
      <c r="AA729">
        <v>0</v>
      </c>
      <c r="AB729">
        <v>0</v>
      </c>
      <c r="AC729">
        <v>0</v>
      </c>
      <c r="AD729">
        <v>0</v>
      </c>
      <c r="AE729">
        <v>0</v>
      </c>
      <c r="AF729">
        <v>0</v>
      </c>
      <c r="AG729">
        <v>0</v>
      </c>
      <c r="AH729">
        <v>0</v>
      </c>
      <c r="AI729">
        <v>0</v>
      </c>
      <c r="AJ729">
        <v>0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44.66</v>
      </c>
      <c r="AR729">
        <v>0</v>
      </c>
      <c r="AS729">
        <v>0</v>
      </c>
      <c r="AT729">
        <v>0</v>
      </c>
      <c r="AU729">
        <v>0</v>
      </c>
      <c r="AV729">
        <v>0</v>
      </c>
      <c r="AW729">
        <v>0</v>
      </c>
      <c r="AX729">
        <v>0</v>
      </c>
      <c r="AY729">
        <v>0</v>
      </c>
      <c r="AZ729">
        <v>0</v>
      </c>
      <c r="BA729">
        <v>0</v>
      </c>
      <c r="BB729">
        <v>0</v>
      </c>
      <c r="BC729">
        <v>0</v>
      </c>
      <c r="BD729">
        <v>0</v>
      </c>
      <c r="BE729">
        <v>0</v>
      </c>
      <c r="BF729">
        <v>0</v>
      </c>
      <c r="BG729">
        <v>0</v>
      </c>
      <c r="BH729">
        <v>1</v>
      </c>
      <c r="BI729">
        <v>2</v>
      </c>
      <c r="BJ729">
        <v>3.1</v>
      </c>
      <c r="BK729">
        <v>3.5</v>
      </c>
      <c r="BL729">
        <v>133.09</v>
      </c>
      <c r="BM729">
        <v>19.96</v>
      </c>
      <c r="BN729">
        <v>153.05000000000001</v>
      </c>
      <c r="BO729">
        <v>153.05000000000001</v>
      </c>
      <c r="BQ729" t="s">
        <v>965</v>
      </c>
      <c r="BR729" t="s">
        <v>82</v>
      </c>
      <c r="BS729" s="3">
        <v>45996</v>
      </c>
      <c r="BT729" s="4">
        <v>0.51249999999999996</v>
      </c>
      <c r="BU729" t="s">
        <v>1494</v>
      </c>
      <c r="BV729" t="s">
        <v>87</v>
      </c>
      <c r="BY729">
        <v>15360</v>
      </c>
      <c r="CA729" t="s">
        <v>967</v>
      </c>
      <c r="CC729" t="s">
        <v>157</v>
      </c>
      <c r="CD729">
        <v>7500</v>
      </c>
      <c r="CE729" t="s">
        <v>86</v>
      </c>
      <c r="CF729" s="3">
        <v>45999</v>
      </c>
      <c r="CI729">
        <v>1</v>
      </c>
      <c r="CJ729">
        <v>1</v>
      </c>
      <c r="CK729">
        <v>21</v>
      </c>
      <c r="CL729" t="s">
        <v>87</v>
      </c>
    </row>
    <row r="730" spans="1:90" x14ac:dyDescent="0.3">
      <c r="A730" t="s">
        <v>72</v>
      </c>
      <c r="B730" t="s">
        <v>73</v>
      </c>
      <c r="C730" t="s">
        <v>74</v>
      </c>
      <c r="E730" t="str">
        <f>"080069683403"</f>
        <v>080069683403</v>
      </c>
      <c r="F730" s="3">
        <v>45995</v>
      </c>
      <c r="G730">
        <v>202609</v>
      </c>
      <c r="H730" t="s">
        <v>75</v>
      </c>
      <c r="I730" t="s">
        <v>76</v>
      </c>
      <c r="J730" t="s">
        <v>77</v>
      </c>
      <c r="K730" t="s">
        <v>78</v>
      </c>
      <c r="L730" t="s">
        <v>272</v>
      </c>
      <c r="M730" t="s">
        <v>273</v>
      </c>
      <c r="N730" t="s">
        <v>274</v>
      </c>
      <c r="O730" t="s">
        <v>80</v>
      </c>
      <c r="P730" t="str">
        <f>"4170072042                    "</f>
        <v xml:space="preserve">4170072042                    </v>
      </c>
      <c r="Q730">
        <v>0</v>
      </c>
      <c r="R730">
        <v>0</v>
      </c>
      <c r="S730">
        <v>0</v>
      </c>
      <c r="T730">
        <v>0</v>
      </c>
      <c r="U730">
        <v>0</v>
      </c>
      <c r="V730">
        <v>0</v>
      </c>
      <c r="W730">
        <v>0</v>
      </c>
      <c r="X730">
        <v>0</v>
      </c>
      <c r="Y730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>
        <v>0</v>
      </c>
      <c r="AG730">
        <v>0</v>
      </c>
      <c r="AH730">
        <v>0</v>
      </c>
      <c r="AI730">
        <v>0</v>
      </c>
      <c r="AJ730">
        <v>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67.72</v>
      </c>
      <c r="AR730">
        <v>0</v>
      </c>
      <c r="AS730">
        <v>0</v>
      </c>
      <c r="AT730">
        <v>0</v>
      </c>
      <c r="AU730">
        <v>0</v>
      </c>
      <c r="AV730">
        <v>0</v>
      </c>
      <c r="AW730">
        <v>0</v>
      </c>
      <c r="AX730">
        <v>0</v>
      </c>
      <c r="AY730">
        <v>0</v>
      </c>
      <c r="AZ730">
        <v>0</v>
      </c>
      <c r="BA730">
        <v>0</v>
      </c>
      <c r="BB730">
        <v>0</v>
      </c>
      <c r="BC730">
        <v>0</v>
      </c>
      <c r="BD730">
        <v>0</v>
      </c>
      <c r="BE730">
        <v>0</v>
      </c>
      <c r="BF730">
        <v>0</v>
      </c>
      <c r="BG730">
        <v>0</v>
      </c>
      <c r="BH730">
        <v>1</v>
      </c>
      <c r="BI730">
        <v>24</v>
      </c>
      <c r="BJ730">
        <v>9.6</v>
      </c>
      <c r="BK730">
        <v>24</v>
      </c>
      <c r="BL730">
        <v>207.92</v>
      </c>
      <c r="BM730">
        <v>31.19</v>
      </c>
      <c r="BN730">
        <v>239.11</v>
      </c>
      <c r="BO730">
        <v>239.11</v>
      </c>
      <c r="BQ730" t="s">
        <v>275</v>
      </c>
      <c r="BR730" t="s">
        <v>82</v>
      </c>
      <c r="BS730" s="3">
        <v>45996</v>
      </c>
      <c r="BT730" s="4">
        <v>0.34444444444444444</v>
      </c>
      <c r="BU730" t="s">
        <v>1107</v>
      </c>
      <c r="BV730" t="s">
        <v>84</v>
      </c>
      <c r="BY730">
        <v>48000</v>
      </c>
      <c r="CA730" t="s">
        <v>1108</v>
      </c>
      <c r="CC730" t="s">
        <v>273</v>
      </c>
      <c r="CD730">
        <v>6220</v>
      </c>
      <c r="CE730" t="s">
        <v>86</v>
      </c>
      <c r="CI730">
        <v>3</v>
      </c>
      <c r="CJ730">
        <v>1</v>
      </c>
      <c r="CK730">
        <v>41</v>
      </c>
      <c r="CL730" t="s">
        <v>87</v>
      </c>
    </row>
    <row r="731" spans="1:90" x14ac:dyDescent="0.3">
      <c r="A731" t="s">
        <v>72</v>
      </c>
      <c r="B731" t="s">
        <v>73</v>
      </c>
      <c r="C731" t="s">
        <v>74</v>
      </c>
      <c r="E731" t="str">
        <f>"080069683429"</f>
        <v>080069683429</v>
      </c>
      <c r="F731" s="3">
        <v>45995</v>
      </c>
      <c r="G731">
        <v>202609</v>
      </c>
      <c r="H731" t="s">
        <v>75</v>
      </c>
      <c r="I731" t="s">
        <v>76</v>
      </c>
      <c r="J731" t="s">
        <v>77</v>
      </c>
      <c r="K731" t="s">
        <v>78</v>
      </c>
      <c r="L731" t="s">
        <v>100</v>
      </c>
      <c r="M731" t="s">
        <v>101</v>
      </c>
      <c r="N731" t="s">
        <v>102</v>
      </c>
      <c r="O731" t="s">
        <v>89</v>
      </c>
      <c r="P731" t="str">
        <f>"4170071992                    "</f>
        <v xml:space="preserve">4170071992                    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0</v>
      </c>
      <c r="X731">
        <v>0</v>
      </c>
      <c r="Y731">
        <v>0</v>
      </c>
      <c r="Z731">
        <v>0</v>
      </c>
      <c r="AA731">
        <v>0</v>
      </c>
      <c r="AB731">
        <v>0</v>
      </c>
      <c r="AC731">
        <v>0</v>
      </c>
      <c r="AD731">
        <v>0</v>
      </c>
      <c r="AE731">
        <v>0</v>
      </c>
      <c r="AF731">
        <v>0</v>
      </c>
      <c r="AG731">
        <v>0</v>
      </c>
      <c r="AH731">
        <v>0</v>
      </c>
      <c r="AI731">
        <v>0</v>
      </c>
      <c r="AJ731">
        <v>0</v>
      </c>
      <c r="AK731">
        <v>0</v>
      </c>
      <c r="AL731">
        <v>0</v>
      </c>
      <c r="AM731">
        <v>0</v>
      </c>
      <c r="AN731">
        <v>0</v>
      </c>
      <c r="AO731">
        <v>0</v>
      </c>
      <c r="AP731">
        <v>0</v>
      </c>
      <c r="AQ731">
        <v>38.28</v>
      </c>
      <c r="AR731">
        <v>0</v>
      </c>
      <c r="AS731">
        <v>0</v>
      </c>
      <c r="AT731">
        <v>0</v>
      </c>
      <c r="AU731">
        <v>0</v>
      </c>
      <c r="AV731">
        <v>0</v>
      </c>
      <c r="AW731">
        <v>0</v>
      </c>
      <c r="AX731">
        <v>0</v>
      </c>
      <c r="AY731">
        <v>0</v>
      </c>
      <c r="AZ731">
        <v>0</v>
      </c>
      <c r="BA731">
        <v>0</v>
      </c>
      <c r="BB731">
        <v>0</v>
      </c>
      <c r="BC731">
        <v>0</v>
      </c>
      <c r="BD731">
        <v>0</v>
      </c>
      <c r="BE731">
        <v>0</v>
      </c>
      <c r="BF731">
        <v>0</v>
      </c>
      <c r="BG731">
        <v>0</v>
      </c>
      <c r="BH731">
        <v>1</v>
      </c>
      <c r="BI731">
        <v>2</v>
      </c>
      <c r="BJ731">
        <v>3</v>
      </c>
      <c r="BK731">
        <v>3</v>
      </c>
      <c r="BL731">
        <v>114.08</v>
      </c>
      <c r="BM731">
        <v>17.11</v>
      </c>
      <c r="BN731">
        <v>131.19</v>
      </c>
      <c r="BO731">
        <v>131.19</v>
      </c>
      <c r="BQ731" t="s">
        <v>103</v>
      </c>
      <c r="BR731" t="s">
        <v>82</v>
      </c>
      <c r="BS731" s="3">
        <v>45996</v>
      </c>
      <c r="BT731" s="4">
        <v>0.35347222222222224</v>
      </c>
      <c r="BU731" t="s">
        <v>1211</v>
      </c>
      <c r="BV731" t="s">
        <v>84</v>
      </c>
      <c r="BY731">
        <v>15232</v>
      </c>
      <c r="CA731" t="s">
        <v>107</v>
      </c>
      <c r="CC731" t="s">
        <v>101</v>
      </c>
      <c r="CD731">
        <v>4051</v>
      </c>
      <c r="CE731" t="s">
        <v>93</v>
      </c>
      <c r="CF731" s="3">
        <v>45996</v>
      </c>
      <c r="CI731">
        <v>1</v>
      </c>
      <c r="CJ731">
        <v>1</v>
      </c>
      <c r="CK731">
        <v>21</v>
      </c>
      <c r="CL731" t="s">
        <v>87</v>
      </c>
    </row>
    <row r="732" spans="1:90" x14ac:dyDescent="0.3">
      <c r="A732" t="s">
        <v>72</v>
      </c>
      <c r="B732" t="s">
        <v>73</v>
      </c>
      <c r="C732" t="s">
        <v>74</v>
      </c>
      <c r="E732" t="str">
        <f>"080069683433"</f>
        <v>080069683433</v>
      </c>
      <c r="F732" s="3">
        <v>45995</v>
      </c>
      <c r="G732">
        <v>202609</v>
      </c>
      <c r="H732" t="s">
        <v>75</v>
      </c>
      <c r="I732" t="s">
        <v>76</v>
      </c>
      <c r="J732" t="s">
        <v>77</v>
      </c>
      <c r="K732" t="s">
        <v>78</v>
      </c>
      <c r="L732" t="s">
        <v>141</v>
      </c>
      <c r="M732" t="s">
        <v>142</v>
      </c>
      <c r="N732" t="s">
        <v>608</v>
      </c>
      <c r="O732" t="s">
        <v>89</v>
      </c>
      <c r="P732" t="str">
        <f>"4170072035                    "</f>
        <v xml:space="preserve">4170072035                    </v>
      </c>
      <c r="Q732">
        <v>0</v>
      </c>
      <c r="R732">
        <v>0</v>
      </c>
      <c r="S732">
        <v>0</v>
      </c>
      <c r="T732">
        <v>0</v>
      </c>
      <c r="U732">
        <v>0</v>
      </c>
      <c r="V732">
        <v>0</v>
      </c>
      <c r="W732">
        <v>0</v>
      </c>
      <c r="X732">
        <v>0</v>
      </c>
      <c r="Y732">
        <v>0</v>
      </c>
      <c r="Z732">
        <v>0</v>
      </c>
      <c r="AA732">
        <v>0</v>
      </c>
      <c r="AB732">
        <v>0</v>
      </c>
      <c r="AC732">
        <v>0</v>
      </c>
      <c r="AD732">
        <v>0</v>
      </c>
      <c r="AE732">
        <v>0</v>
      </c>
      <c r="AF732">
        <v>0</v>
      </c>
      <c r="AG732">
        <v>0</v>
      </c>
      <c r="AH732">
        <v>0</v>
      </c>
      <c r="AI732">
        <v>0</v>
      </c>
      <c r="AJ732">
        <v>0</v>
      </c>
      <c r="AK732">
        <v>0</v>
      </c>
      <c r="AL732">
        <v>0</v>
      </c>
      <c r="AM732">
        <v>0</v>
      </c>
      <c r="AN732">
        <v>0</v>
      </c>
      <c r="AO732">
        <v>0</v>
      </c>
      <c r="AP732">
        <v>0</v>
      </c>
      <c r="AQ732">
        <v>108.44</v>
      </c>
      <c r="AR732">
        <v>0</v>
      </c>
      <c r="AS732">
        <v>0</v>
      </c>
      <c r="AT732">
        <v>0</v>
      </c>
      <c r="AU732">
        <v>0</v>
      </c>
      <c r="AV732">
        <v>0</v>
      </c>
      <c r="AW732">
        <v>0</v>
      </c>
      <c r="AX732">
        <v>0</v>
      </c>
      <c r="AY732">
        <v>0</v>
      </c>
      <c r="AZ732">
        <v>0</v>
      </c>
      <c r="BA732">
        <v>0</v>
      </c>
      <c r="BB732">
        <v>0</v>
      </c>
      <c r="BC732">
        <v>0</v>
      </c>
      <c r="BD732">
        <v>0</v>
      </c>
      <c r="BE732">
        <v>0</v>
      </c>
      <c r="BF732">
        <v>0</v>
      </c>
      <c r="BG732">
        <v>0</v>
      </c>
      <c r="BH732">
        <v>1</v>
      </c>
      <c r="BI732">
        <v>6</v>
      </c>
      <c r="BJ732">
        <v>8.1</v>
      </c>
      <c r="BK732">
        <v>8.5</v>
      </c>
      <c r="BL732">
        <v>323.17</v>
      </c>
      <c r="BM732">
        <v>48.48</v>
      </c>
      <c r="BN732">
        <v>371.65</v>
      </c>
      <c r="BO732">
        <v>371.65</v>
      </c>
      <c r="BQ732" t="s">
        <v>609</v>
      </c>
      <c r="BR732" t="s">
        <v>82</v>
      </c>
      <c r="BS732" s="3">
        <v>45996</v>
      </c>
      <c r="BT732" s="4">
        <v>0.41736111111111113</v>
      </c>
      <c r="BU732" t="s">
        <v>610</v>
      </c>
      <c r="BV732" t="s">
        <v>84</v>
      </c>
      <c r="BY732">
        <v>40320</v>
      </c>
      <c r="CA732" t="s">
        <v>315</v>
      </c>
      <c r="CC732" t="s">
        <v>142</v>
      </c>
      <c r="CD732">
        <v>6070</v>
      </c>
      <c r="CE732" t="s">
        <v>86</v>
      </c>
      <c r="CF732" s="3">
        <v>45996</v>
      </c>
      <c r="CI732">
        <v>1</v>
      </c>
      <c r="CJ732">
        <v>1</v>
      </c>
      <c r="CK732">
        <v>21</v>
      </c>
      <c r="CL732" t="s">
        <v>87</v>
      </c>
    </row>
    <row r="733" spans="1:90" x14ac:dyDescent="0.3">
      <c r="A733" t="s">
        <v>72</v>
      </c>
      <c r="B733" t="s">
        <v>73</v>
      </c>
      <c r="C733" t="s">
        <v>74</v>
      </c>
      <c r="E733" t="str">
        <f>"080069683482"</f>
        <v>080069683482</v>
      </c>
      <c r="F733" s="3">
        <v>45995</v>
      </c>
      <c r="G733">
        <v>202609</v>
      </c>
      <c r="H733" t="s">
        <v>75</v>
      </c>
      <c r="I733" t="s">
        <v>76</v>
      </c>
      <c r="J733" t="s">
        <v>77</v>
      </c>
      <c r="K733" t="s">
        <v>78</v>
      </c>
      <c r="L733" t="s">
        <v>295</v>
      </c>
      <c r="M733" t="s">
        <v>296</v>
      </c>
      <c r="N733" t="s">
        <v>1495</v>
      </c>
      <c r="O733" t="s">
        <v>89</v>
      </c>
      <c r="P733" t="str">
        <f>"4170072004                    "</f>
        <v xml:space="preserve">4170072004                    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0</v>
      </c>
      <c r="W733">
        <v>0</v>
      </c>
      <c r="X733">
        <v>0</v>
      </c>
      <c r="Y733">
        <v>0</v>
      </c>
      <c r="Z733">
        <v>0</v>
      </c>
      <c r="AA733">
        <v>0</v>
      </c>
      <c r="AB733">
        <v>0</v>
      </c>
      <c r="AC733">
        <v>0</v>
      </c>
      <c r="AD733">
        <v>0</v>
      </c>
      <c r="AE733">
        <v>0</v>
      </c>
      <c r="AF733">
        <v>0</v>
      </c>
      <c r="AG733">
        <v>0</v>
      </c>
      <c r="AH733">
        <v>0</v>
      </c>
      <c r="AI733">
        <v>0</v>
      </c>
      <c r="AJ733">
        <v>0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19.940000000000001</v>
      </c>
      <c r="AR733">
        <v>0</v>
      </c>
      <c r="AS733">
        <v>0</v>
      </c>
      <c r="AT733">
        <v>0</v>
      </c>
      <c r="AU733">
        <v>0</v>
      </c>
      <c r="AV733">
        <v>0</v>
      </c>
      <c r="AW733">
        <v>0</v>
      </c>
      <c r="AX733">
        <v>0</v>
      </c>
      <c r="AY733">
        <v>0</v>
      </c>
      <c r="AZ733">
        <v>0</v>
      </c>
      <c r="BA733">
        <v>0</v>
      </c>
      <c r="BB733">
        <v>0</v>
      </c>
      <c r="BC733">
        <v>0</v>
      </c>
      <c r="BD733">
        <v>0</v>
      </c>
      <c r="BE733">
        <v>0</v>
      </c>
      <c r="BF733">
        <v>0</v>
      </c>
      <c r="BG733">
        <v>0</v>
      </c>
      <c r="BH733">
        <v>1</v>
      </c>
      <c r="BI733">
        <v>1</v>
      </c>
      <c r="BJ733">
        <v>1.2</v>
      </c>
      <c r="BK733">
        <v>2</v>
      </c>
      <c r="BL733">
        <v>59.42</v>
      </c>
      <c r="BM733">
        <v>8.91</v>
      </c>
      <c r="BN733">
        <v>68.33</v>
      </c>
      <c r="BO733">
        <v>68.33</v>
      </c>
      <c r="BQ733" t="s">
        <v>1496</v>
      </c>
      <c r="BR733" t="s">
        <v>82</v>
      </c>
      <c r="BS733" s="3">
        <v>45999</v>
      </c>
      <c r="BT733" s="4">
        <v>0.40138888888888891</v>
      </c>
      <c r="BU733" t="s">
        <v>1497</v>
      </c>
      <c r="BV733" t="s">
        <v>87</v>
      </c>
      <c r="BY733">
        <v>5760</v>
      </c>
      <c r="CA733" t="s">
        <v>1498</v>
      </c>
      <c r="CC733" t="s">
        <v>296</v>
      </c>
      <c r="CD733">
        <v>1500</v>
      </c>
      <c r="CE733" t="s">
        <v>93</v>
      </c>
      <c r="CF733" s="3">
        <v>45999</v>
      </c>
      <c r="CI733">
        <v>1</v>
      </c>
      <c r="CJ733">
        <v>2</v>
      </c>
      <c r="CK733">
        <v>22</v>
      </c>
      <c r="CL733" t="s">
        <v>87</v>
      </c>
    </row>
    <row r="734" spans="1:90" x14ac:dyDescent="0.3">
      <c r="A734" t="s">
        <v>72</v>
      </c>
      <c r="B734" t="s">
        <v>73</v>
      </c>
      <c r="C734" t="s">
        <v>74</v>
      </c>
      <c r="E734" t="str">
        <f>"080069683477"</f>
        <v>080069683477</v>
      </c>
      <c r="F734" s="3">
        <v>45995</v>
      </c>
      <c r="G734">
        <v>202609</v>
      </c>
      <c r="H734" t="s">
        <v>75</v>
      </c>
      <c r="I734" t="s">
        <v>76</v>
      </c>
      <c r="J734" t="s">
        <v>77</v>
      </c>
      <c r="K734" t="s">
        <v>78</v>
      </c>
      <c r="L734" t="s">
        <v>100</v>
      </c>
      <c r="M734" t="s">
        <v>101</v>
      </c>
      <c r="N734" t="s">
        <v>1499</v>
      </c>
      <c r="O734" t="s">
        <v>89</v>
      </c>
      <c r="P734" t="str">
        <f>"4170072018                    "</f>
        <v xml:space="preserve">4170072018                    </v>
      </c>
      <c r="Q734">
        <v>0</v>
      </c>
      <c r="R734">
        <v>0</v>
      </c>
      <c r="S734">
        <v>0</v>
      </c>
      <c r="T734">
        <v>0</v>
      </c>
      <c r="U734">
        <v>0</v>
      </c>
      <c r="V734">
        <v>0</v>
      </c>
      <c r="W734">
        <v>0</v>
      </c>
      <c r="X734">
        <v>0</v>
      </c>
      <c r="Y734">
        <v>0</v>
      </c>
      <c r="Z734">
        <v>0</v>
      </c>
      <c r="AA734">
        <v>0</v>
      </c>
      <c r="AB734">
        <v>0</v>
      </c>
      <c r="AC734">
        <v>0</v>
      </c>
      <c r="AD734">
        <v>0</v>
      </c>
      <c r="AE734">
        <v>0</v>
      </c>
      <c r="AF734">
        <v>0</v>
      </c>
      <c r="AG734">
        <v>0</v>
      </c>
      <c r="AH734">
        <v>0</v>
      </c>
      <c r="AI734">
        <v>0</v>
      </c>
      <c r="AJ734">
        <v>0</v>
      </c>
      <c r="AK734">
        <v>0</v>
      </c>
      <c r="AL734">
        <v>0</v>
      </c>
      <c r="AM734">
        <v>0</v>
      </c>
      <c r="AN734">
        <v>0</v>
      </c>
      <c r="AO734">
        <v>0</v>
      </c>
      <c r="AP734">
        <v>0</v>
      </c>
      <c r="AQ734">
        <v>51.04</v>
      </c>
      <c r="AR734">
        <v>0</v>
      </c>
      <c r="AS734">
        <v>0</v>
      </c>
      <c r="AT734">
        <v>0</v>
      </c>
      <c r="AU734">
        <v>0</v>
      </c>
      <c r="AV734">
        <v>0</v>
      </c>
      <c r="AW734">
        <v>0</v>
      </c>
      <c r="AX734">
        <v>0</v>
      </c>
      <c r="AY734">
        <v>0</v>
      </c>
      <c r="AZ734">
        <v>0</v>
      </c>
      <c r="BA734">
        <v>0</v>
      </c>
      <c r="BB734">
        <v>0</v>
      </c>
      <c r="BC734">
        <v>0</v>
      </c>
      <c r="BD734">
        <v>0</v>
      </c>
      <c r="BE734">
        <v>0</v>
      </c>
      <c r="BF734">
        <v>0</v>
      </c>
      <c r="BG734">
        <v>0</v>
      </c>
      <c r="BH734">
        <v>1</v>
      </c>
      <c r="BI734">
        <v>1</v>
      </c>
      <c r="BJ734">
        <v>3.7</v>
      </c>
      <c r="BK734">
        <v>4</v>
      </c>
      <c r="BL734">
        <v>152.1</v>
      </c>
      <c r="BM734">
        <v>22.82</v>
      </c>
      <c r="BN734">
        <v>174.92</v>
      </c>
      <c r="BO734">
        <v>174.92</v>
      </c>
      <c r="BQ734" t="s">
        <v>1500</v>
      </c>
      <c r="BR734" t="s">
        <v>82</v>
      </c>
      <c r="BS734" s="3">
        <v>45996</v>
      </c>
      <c r="BT734" s="4">
        <v>0.62638888888888888</v>
      </c>
      <c r="BU734" t="s">
        <v>1501</v>
      </c>
      <c r="BV734" t="s">
        <v>87</v>
      </c>
      <c r="BY734">
        <v>18304</v>
      </c>
      <c r="CA734" t="s">
        <v>1502</v>
      </c>
      <c r="CC734" t="s">
        <v>101</v>
      </c>
      <c r="CD734">
        <v>4093</v>
      </c>
      <c r="CE734" t="s">
        <v>86</v>
      </c>
      <c r="CF734" s="3">
        <v>45996</v>
      </c>
      <c r="CI734">
        <v>1</v>
      </c>
      <c r="CJ734">
        <v>1</v>
      </c>
      <c r="CK734">
        <v>21</v>
      </c>
      <c r="CL734" t="s">
        <v>87</v>
      </c>
    </row>
    <row r="735" spans="1:90" x14ac:dyDescent="0.3">
      <c r="A735" t="s">
        <v>72</v>
      </c>
      <c r="B735" t="s">
        <v>73</v>
      </c>
      <c r="C735" t="s">
        <v>74</v>
      </c>
      <c r="E735" t="str">
        <f>"080069683521"</f>
        <v>080069683521</v>
      </c>
      <c r="F735" s="3">
        <v>45995</v>
      </c>
      <c r="G735">
        <v>202609</v>
      </c>
      <c r="H735" t="s">
        <v>75</v>
      </c>
      <c r="I735" t="s">
        <v>76</v>
      </c>
      <c r="J735" t="s">
        <v>77</v>
      </c>
      <c r="K735" t="s">
        <v>78</v>
      </c>
      <c r="L735" t="s">
        <v>141</v>
      </c>
      <c r="M735" t="s">
        <v>142</v>
      </c>
      <c r="N735" t="s">
        <v>801</v>
      </c>
      <c r="O735" t="s">
        <v>89</v>
      </c>
      <c r="P735" t="str">
        <f>"4170072016                    "</f>
        <v xml:space="preserve">4170072016                    </v>
      </c>
      <c r="Q735">
        <v>0</v>
      </c>
      <c r="R735">
        <v>0</v>
      </c>
      <c r="S735">
        <v>0</v>
      </c>
      <c r="T735">
        <v>0</v>
      </c>
      <c r="U735">
        <v>0</v>
      </c>
      <c r="V735">
        <v>0</v>
      </c>
      <c r="W735">
        <v>0</v>
      </c>
      <c r="X735">
        <v>0</v>
      </c>
      <c r="Y735">
        <v>0</v>
      </c>
      <c r="Z735">
        <v>0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0</v>
      </c>
      <c r="AJ735">
        <v>0</v>
      </c>
      <c r="AK735">
        <v>0</v>
      </c>
      <c r="AL735">
        <v>0</v>
      </c>
      <c r="AM735">
        <v>0</v>
      </c>
      <c r="AN735">
        <v>0</v>
      </c>
      <c r="AO735">
        <v>0</v>
      </c>
      <c r="AP735">
        <v>0</v>
      </c>
      <c r="AQ735">
        <v>51.04</v>
      </c>
      <c r="AR735">
        <v>0</v>
      </c>
      <c r="AS735">
        <v>0</v>
      </c>
      <c r="AT735">
        <v>0</v>
      </c>
      <c r="AU735">
        <v>0</v>
      </c>
      <c r="AV735">
        <v>0</v>
      </c>
      <c r="AW735">
        <v>0</v>
      </c>
      <c r="AX735">
        <v>0</v>
      </c>
      <c r="AY735">
        <v>0</v>
      </c>
      <c r="AZ735">
        <v>0</v>
      </c>
      <c r="BA735">
        <v>0</v>
      </c>
      <c r="BB735">
        <v>0</v>
      </c>
      <c r="BC735">
        <v>0</v>
      </c>
      <c r="BD735">
        <v>0</v>
      </c>
      <c r="BE735">
        <v>0</v>
      </c>
      <c r="BF735">
        <v>0</v>
      </c>
      <c r="BG735">
        <v>0</v>
      </c>
      <c r="BH735">
        <v>1</v>
      </c>
      <c r="BI735">
        <v>4</v>
      </c>
      <c r="BJ735">
        <v>1.9</v>
      </c>
      <c r="BK735">
        <v>4</v>
      </c>
      <c r="BL735">
        <v>152.1</v>
      </c>
      <c r="BM735">
        <v>22.82</v>
      </c>
      <c r="BN735">
        <v>174.92</v>
      </c>
      <c r="BO735">
        <v>174.92</v>
      </c>
      <c r="BQ735" t="s">
        <v>802</v>
      </c>
      <c r="BR735" t="s">
        <v>82</v>
      </c>
      <c r="BS735" s="3">
        <v>45996</v>
      </c>
      <c r="BT735" s="4">
        <v>0.42708333333333331</v>
      </c>
      <c r="BU735" t="s">
        <v>1503</v>
      </c>
      <c r="BV735" t="s">
        <v>84</v>
      </c>
      <c r="BY735">
        <v>9576</v>
      </c>
      <c r="CA735" t="s">
        <v>1228</v>
      </c>
      <c r="CC735" t="s">
        <v>142</v>
      </c>
      <c r="CD735">
        <v>6001</v>
      </c>
      <c r="CE735" t="s">
        <v>86</v>
      </c>
      <c r="CF735" s="3">
        <v>45996</v>
      </c>
      <c r="CI735">
        <v>1</v>
      </c>
      <c r="CJ735">
        <v>1</v>
      </c>
      <c r="CK735">
        <v>21</v>
      </c>
      <c r="CL735" t="s">
        <v>87</v>
      </c>
    </row>
    <row r="736" spans="1:90" x14ac:dyDescent="0.3">
      <c r="A736" t="s">
        <v>72</v>
      </c>
      <c r="B736" t="s">
        <v>73</v>
      </c>
      <c r="C736" t="s">
        <v>74</v>
      </c>
      <c r="E736" t="str">
        <f>"080069683520"</f>
        <v>080069683520</v>
      </c>
      <c r="F736" s="3">
        <v>45995</v>
      </c>
      <c r="G736">
        <v>202609</v>
      </c>
      <c r="H736" t="s">
        <v>75</v>
      </c>
      <c r="I736" t="s">
        <v>76</v>
      </c>
      <c r="J736" t="s">
        <v>77</v>
      </c>
      <c r="K736" t="s">
        <v>78</v>
      </c>
      <c r="L736" t="s">
        <v>535</v>
      </c>
      <c r="M736" t="s">
        <v>535</v>
      </c>
      <c r="N736" t="s">
        <v>556</v>
      </c>
      <c r="O736" t="s">
        <v>89</v>
      </c>
      <c r="P736" t="str">
        <f>"4170072019                    "</f>
        <v xml:space="preserve">4170072019                    </v>
      </c>
      <c r="Q736">
        <v>0</v>
      </c>
      <c r="R736">
        <v>0</v>
      </c>
      <c r="S736">
        <v>0</v>
      </c>
      <c r="T736">
        <v>0</v>
      </c>
      <c r="U736">
        <v>0</v>
      </c>
      <c r="V736">
        <v>0</v>
      </c>
      <c r="W736">
        <v>0</v>
      </c>
      <c r="X736">
        <v>0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0</v>
      </c>
      <c r="AE736">
        <v>0</v>
      </c>
      <c r="AF736">
        <v>0</v>
      </c>
      <c r="AG736">
        <v>0</v>
      </c>
      <c r="AH736">
        <v>0</v>
      </c>
      <c r="AI736">
        <v>0</v>
      </c>
      <c r="AJ736">
        <v>0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94.12</v>
      </c>
      <c r="AR736">
        <v>0</v>
      </c>
      <c r="AS736">
        <v>0</v>
      </c>
      <c r="AT736">
        <v>0</v>
      </c>
      <c r="AU736">
        <v>0</v>
      </c>
      <c r="AV736">
        <v>0</v>
      </c>
      <c r="AW736">
        <v>0</v>
      </c>
      <c r="AX736">
        <v>0</v>
      </c>
      <c r="AY736">
        <v>0</v>
      </c>
      <c r="AZ736">
        <v>0</v>
      </c>
      <c r="BA736">
        <v>0</v>
      </c>
      <c r="BB736">
        <v>0</v>
      </c>
      <c r="BC736">
        <v>0</v>
      </c>
      <c r="BD736">
        <v>0</v>
      </c>
      <c r="BE736">
        <v>0</v>
      </c>
      <c r="BF736">
        <v>0</v>
      </c>
      <c r="BG736">
        <v>0</v>
      </c>
      <c r="BH736">
        <v>1</v>
      </c>
      <c r="BI736">
        <v>3</v>
      </c>
      <c r="BJ736">
        <v>3.7</v>
      </c>
      <c r="BK736">
        <v>4</v>
      </c>
      <c r="BL736">
        <v>280.49</v>
      </c>
      <c r="BM736">
        <v>42.07</v>
      </c>
      <c r="BN736">
        <v>322.56</v>
      </c>
      <c r="BO736">
        <v>322.56</v>
      </c>
      <c r="BQ736" t="s">
        <v>557</v>
      </c>
      <c r="BR736" t="s">
        <v>82</v>
      </c>
      <c r="BS736" s="3">
        <v>45996</v>
      </c>
      <c r="BT736" s="4">
        <v>0.72638888888888886</v>
      </c>
      <c r="BU736" t="s">
        <v>1239</v>
      </c>
      <c r="BV736" t="s">
        <v>87</v>
      </c>
      <c r="BY736">
        <v>18304</v>
      </c>
      <c r="CA736" t="s">
        <v>539</v>
      </c>
      <c r="CC736" t="s">
        <v>535</v>
      </c>
      <c r="CD736">
        <v>7646</v>
      </c>
      <c r="CE736" t="s">
        <v>86</v>
      </c>
      <c r="CF736" s="3">
        <v>45999</v>
      </c>
      <c r="CI736">
        <v>1</v>
      </c>
      <c r="CJ736">
        <v>1</v>
      </c>
      <c r="CK736">
        <v>23</v>
      </c>
      <c r="CL736" t="s">
        <v>87</v>
      </c>
    </row>
    <row r="737" spans="1:90" x14ac:dyDescent="0.3">
      <c r="A737" t="s">
        <v>72</v>
      </c>
      <c r="B737" t="s">
        <v>73</v>
      </c>
      <c r="C737" t="s">
        <v>74</v>
      </c>
      <c r="E737" t="str">
        <f>"080069683545"</f>
        <v>080069683545</v>
      </c>
      <c r="F737" s="3">
        <v>45995</v>
      </c>
      <c r="G737">
        <v>202609</v>
      </c>
      <c r="H737" t="s">
        <v>75</v>
      </c>
      <c r="I737" t="s">
        <v>76</v>
      </c>
      <c r="J737" t="s">
        <v>77</v>
      </c>
      <c r="K737" t="s">
        <v>78</v>
      </c>
      <c r="L737" t="s">
        <v>1504</v>
      </c>
      <c r="M737" t="s">
        <v>1505</v>
      </c>
      <c r="N737" t="s">
        <v>1506</v>
      </c>
      <c r="O737" t="s">
        <v>89</v>
      </c>
      <c r="P737" t="str">
        <f>"4170072017                    "</f>
        <v xml:space="preserve">4170072017                    </v>
      </c>
      <c r="Q737">
        <v>0</v>
      </c>
      <c r="R737">
        <v>0</v>
      </c>
      <c r="S737">
        <v>0</v>
      </c>
      <c r="T737">
        <v>0</v>
      </c>
      <c r="U737">
        <v>0</v>
      </c>
      <c r="V737">
        <v>0</v>
      </c>
      <c r="W737">
        <v>0</v>
      </c>
      <c r="X737">
        <v>0</v>
      </c>
      <c r="Y737">
        <v>0</v>
      </c>
      <c r="Z737">
        <v>0</v>
      </c>
      <c r="AA737">
        <v>0</v>
      </c>
      <c r="AB737">
        <v>0</v>
      </c>
      <c r="AC737">
        <v>0</v>
      </c>
      <c r="AD737">
        <v>0</v>
      </c>
      <c r="AE737">
        <v>0</v>
      </c>
      <c r="AF737">
        <v>0</v>
      </c>
      <c r="AG737">
        <v>0</v>
      </c>
      <c r="AH737">
        <v>0</v>
      </c>
      <c r="AI737">
        <v>0</v>
      </c>
      <c r="AJ737">
        <v>0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105.28</v>
      </c>
      <c r="AR737">
        <v>0</v>
      </c>
      <c r="AS737">
        <v>0</v>
      </c>
      <c r="AT737">
        <v>0</v>
      </c>
      <c r="AU737">
        <v>0</v>
      </c>
      <c r="AV737">
        <v>0</v>
      </c>
      <c r="AW737">
        <v>0</v>
      </c>
      <c r="AX737">
        <v>0</v>
      </c>
      <c r="AY737">
        <v>0</v>
      </c>
      <c r="AZ737">
        <v>0</v>
      </c>
      <c r="BA737">
        <v>0</v>
      </c>
      <c r="BB737">
        <v>0</v>
      </c>
      <c r="BC737">
        <v>0</v>
      </c>
      <c r="BD737">
        <v>0</v>
      </c>
      <c r="BE737">
        <v>0</v>
      </c>
      <c r="BF737">
        <v>0</v>
      </c>
      <c r="BG737">
        <v>0</v>
      </c>
      <c r="BH737">
        <v>1</v>
      </c>
      <c r="BI737">
        <v>1</v>
      </c>
      <c r="BJ737">
        <v>4.0999999999999996</v>
      </c>
      <c r="BK737">
        <v>4.5</v>
      </c>
      <c r="BL737">
        <v>313.76</v>
      </c>
      <c r="BM737">
        <v>47.06</v>
      </c>
      <c r="BN737">
        <v>360.82</v>
      </c>
      <c r="BO737">
        <v>360.82</v>
      </c>
      <c r="BQ737" t="s">
        <v>1507</v>
      </c>
      <c r="BR737" t="s">
        <v>82</v>
      </c>
      <c r="BS737" s="3">
        <v>45999</v>
      </c>
      <c r="BT737" s="4">
        <v>0.37847222222222221</v>
      </c>
      <c r="BU737" t="s">
        <v>1508</v>
      </c>
      <c r="BV737" t="s">
        <v>84</v>
      </c>
      <c r="BY737">
        <v>20358</v>
      </c>
      <c r="CC737" t="s">
        <v>1505</v>
      </c>
      <c r="CD737">
        <v>6742</v>
      </c>
      <c r="CE737" t="s">
        <v>86</v>
      </c>
      <c r="CF737" s="3">
        <v>45999</v>
      </c>
      <c r="CI737">
        <v>2</v>
      </c>
      <c r="CJ737">
        <v>2</v>
      </c>
      <c r="CK737">
        <v>23</v>
      </c>
      <c r="CL737" t="s">
        <v>87</v>
      </c>
    </row>
    <row r="738" spans="1:90" x14ac:dyDescent="0.3">
      <c r="A738" t="s">
        <v>72</v>
      </c>
      <c r="B738" t="s">
        <v>73</v>
      </c>
      <c r="C738" t="s">
        <v>74</v>
      </c>
      <c r="E738" t="str">
        <f>"080069683546"</f>
        <v>080069683546</v>
      </c>
      <c r="F738" s="3">
        <v>45995</v>
      </c>
      <c r="G738">
        <v>202609</v>
      </c>
      <c r="H738" t="s">
        <v>75</v>
      </c>
      <c r="I738" t="s">
        <v>76</v>
      </c>
      <c r="J738" t="s">
        <v>77</v>
      </c>
      <c r="K738" t="s">
        <v>78</v>
      </c>
      <c r="L738" t="s">
        <v>120</v>
      </c>
      <c r="M738" t="s">
        <v>121</v>
      </c>
      <c r="N738" t="s">
        <v>1509</v>
      </c>
      <c r="O738" t="s">
        <v>89</v>
      </c>
      <c r="P738" t="str">
        <f>"4170072049                    "</f>
        <v xml:space="preserve">4170072049                    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0</v>
      </c>
      <c r="W738">
        <v>0</v>
      </c>
      <c r="X738">
        <v>0</v>
      </c>
      <c r="Y738">
        <v>0</v>
      </c>
      <c r="Z738">
        <v>0</v>
      </c>
      <c r="AA738">
        <v>0</v>
      </c>
      <c r="AB738">
        <v>0</v>
      </c>
      <c r="AC738">
        <v>0</v>
      </c>
      <c r="AD738">
        <v>0</v>
      </c>
      <c r="AE738">
        <v>0</v>
      </c>
      <c r="AF738">
        <v>0</v>
      </c>
      <c r="AG738">
        <v>0</v>
      </c>
      <c r="AH738">
        <v>0</v>
      </c>
      <c r="AI738">
        <v>0</v>
      </c>
      <c r="AJ738">
        <v>0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25.52</v>
      </c>
      <c r="AR738">
        <v>0</v>
      </c>
      <c r="AS738">
        <v>0</v>
      </c>
      <c r="AT738">
        <v>0</v>
      </c>
      <c r="AU738">
        <v>0</v>
      </c>
      <c r="AV738">
        <v>0</v>
      </c>
      <c r="AW738">
        <v>0</v>
      </c>
      <c r="AX738">
        <v>0</v>
      </c>
      <c r="AY738">
        <v>0</v>
      </c>
      <c r="AZ738">
        <v>0</v>
      </c>
      <c r="BA738">
        <v>0</v>
      </c>
      <c r="BB738">
        <v>0</v>
      </c>
      <c r="BC738">
        <v>0</v>
      </c>
      <c r="BD738">
        <v>0</v>
      </c>
      <c r="BE738">
        <v>0</v>
      </c>
      <c r="BF738">
        <v>0</v>
      </c>
      <c r="BG738">
        <v>0</v>
      </c>
      <c r="BH738">
        <v>1</v>
      </c>
      <c r="BI738">
        <v>2</v>
      </c>
      <c r="BJ738">
        <v>1.8</v>
      </c>
      <c r="BK738">
        <v>2</v>
      </c>
      <c r="BL738">
        <v>76.06</v>
      </c>
      <c r="BM738">
        <v>11.41</v>
      </c>
      <c r="BN738">
        <v>87.47</v>
      </c>
      <c r="BO738">
        <v>87.47</v>
      </c>
      <c r="BQ738" t="s">
        <v>1510</v>
      </c>
      <c r="BR738" t="s">
        <v>82</v>
      </c>
      <c r="BS738" s="3">
        <v>45996</v>
      </c>
      <c r="BT738" s="4">
        <v>0.40416666666666667</v>
      </c>
      <c r="BU738" t="s">
        <v>1511</v>
      </c>
      <c r="BV738" t="s">
        <v>84</v>
      </c>
      <c r="BY738">
        <v>8816</v>
      </c>
      <c r="CA738" t="s">
        <v>126</v>
      </c>
      <c r="CC738" t="s">
        <v>121</v>
      </c>
      <c r="CD738">
        <v>6230</v>
      </c>
      <c r="CE738" t="s">
        <v>86</v>
      </c>
      <c r="CF738" s="3">
        <v>45996</v>
      </c>
      <c r="CI738">
        <v>1</v>
      </c>
      <c r="CJ738">
        <v>1</v>
      </c>
      <c r="CK738">
        <v>21</v>
      </c>
      <c r="CL738" t="s">
        <v>87</v>
      </c>
    </row>
    <row r="739" spans="1:90" x14ac:dyDescent="0.3">
      <c r="A739" t="s">
        <v>72</v>
      </c>
      <c r="B739" t="s">
        <v>73</v>
      </c>
      <c r="C739" t="s">
        <v>74</v>
      </c>
      <c r="E739" t="str">
        <f>"080069683585"</f>
        <v>080069683585</v>
      </c>
      <c r="F739" s="3">
        <v>45995</v>
      </c>
      <c r="G739">
        <v>202609</v>
      </c>
      <c r="H739" t="s">
        <v>75</v>
      </c>
      <c r="I739" t="s">
        <v>76</v>
      </c>
      <c r="J739" t="s">
        <v>77</v>
      </c>
      <c r="K739" t="s">
        <v>78</v>
      </c>
      <c r="L739" t="s">
        <v>366</v>
      </c>
      <c r="M739" t="s">
        <v>367</v>
      </c>
      <c r="N739" t="s">
        <v>521</v>
      </c>
      <c r="O739" t="s">
        <v>89</v>
      </c>
      <c r="P739" t="str">
        <f>"4170072008                    "</f>
        <v xml:space="preserve">4170072008                    </v>
      </c>
      <c r="Q739">
        <v>0</v>
      </c>
      <c r="R739">
        <v>0</v>
      </c>
      <c r="S739">
        <v>0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  <c r="AB739">
        <v>0</v>
      </c>
      <c r="AC739">
        <v>0</v>
      </c>
      <c r="AD739">
        <v>0</v>
      </c>
      <c r="AE739">
        <v>0</v>
      </c>
      <c r="AF739">
        <v>0</v>
      </c>
      <c r="AG739">
        <v>0</v>
      </c>
      <c r="AH739">
        <v>0</v>
      </c>
      <c r="AI739">
        <v>0</v>
      </c>
      <c r="AJ739">
        <v>0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105.28</v>
      </c>
      <c r="AR739">
        <v>0</v>
      </c>
      <c r="AS739">
        <v>0</v>
      </c>
      <c r="AT739">
        <v>0</v>
      </c>
      <c r="AU739">
        <v>0</v>
      </c>
      <c r="AV739">
        <v>0</v>
      </c>
      <c r="AW739">
        <v>0</v>
      </c>
      <c r="AX739">
        <v>0</v>
      </c>
      <c r="AY739">
        <v>0</v>
      </c>
      <c r="AZ739">
        <v>0</v>
      </c>
      <c r="BA739">
        <v>0</v>
      </c>
      <c r="BB739">
        <v>0</v>
      </c>
      <c r="BC739">
        <v>0</v>
      </c>
      <c r="BD739">
        <v>0</v>
      </c>
      <c r="BE739">
        <v>0</v>
      </c>
      <c r="BF739">
        <v>0</v>
      </c>
      <c r="BG739">
        <v>0</v>
      </c>
      <c r="BH739">
        <v>1</v>
      </c>
      <c r="BI739">
        <v>3</v>
      </c>
      <c r="BJ739">
        <v>4.0999999999999996</v>
      </c>
      <c r="BK739">
        <v>4.5</v>
      </c>
      <c r="BL739">
        <v>313.76</v>
      </c>
      <c r="BM739">
        <v>47.06</v>
      </c>
      <c r="BN739">
        <v>360.82</v>
      </c>
      <c r="BO739">
        <v>360.82</v>
      </c>
      <c r="BQ739" t="s">
        <v>522</v>
      </c>
      <c r="BR739" t="s">
        <v>82</v>
      </c>
      <c r="BS739" s="3">
        <v>45996</v>
      </c>
      <c r="BT739" s="4">
        <v>0.4375</v>
      </c>
      <c r="BU739" t="s">
        <v>523</v>
      </c>
      <c r="BV739" t="s">
        <v>84</v>
      </c>
      <c r="BY739">
        <v>20358</v>
      </c>
      <c r="CA739">
        <v>8510125994083</v>
      </c>
      <c r="CC739" t="s">
        <v>367</v>
      </c>
      <c r="CD739">
        <v>1900</v>
      </c>
      <c r="CE739" t="s">
        <v>86</v>
      </c>
      <c r="CF739" s="3">
        <v>45999</v>
      </c>
      <c r="CI739">
        <v>1</v>
      </c>
      <c r="CJ739">
        <v>1</v>
      </c>
      <c r="CK739">
        <v>23</v>
      </c>
      <c r="CL739" t="s">
        <v>87</v>
      </c>
    </row>
    <row r="740" spans="1:90" x14ac:dyDescent="0.3">
      <c r="A740" t="s">
        <v>72</v>
      </c>
      <c r="B740" t="s">
        <v>73</v>
      </c>
      <c r="C740" t="s">
        <v>74</v>
      </c>
      <c r="E740" t="str">
        <f>"080069673404"</f>
        <v>080069673404</v>
      </c>
      <c r="F740" s="3">
        <v>45995</v>
      </c>
      <c r="G740">
        <v>202609</v>
      </c>
      <c r="H740" t="s">
        <v>75</v>
      </c>
      <c r="I740" t="s">
        <v>76</v>
      </c>
      <c r="J740" t="s">
        <v>77</v>
      </c>
      <c r="K740" t="s">
        <v>78</v>
      </c>
      <c r="L740" t="s">
        <v>265</v>
      </c>
      <c r="M740" t="s">
        <v>266</v>
      </c>
      <c r="N740" t="s">
        <v>414</v>
      </c>
      <c r="O740" t="s">
        <v>340</v>
      </c>
      <c r="P740" t="str">
        <f>"4170071815                    "</f>
        <v xml:space="preserve">4170071815                    </v>
      </c>
      <c r="Q740">
        <v>0</v>
      </c>
      <c r="R740">
        <v>0</v>
      </c>
      <c r="S740">
        <v>0</v>
      </c>
      <c r="T740">
        <v>0</v>
      </c>
      <c r="U740">
        <v>0</v>
      </c>
      <c r="V740">
        <v>0</v>
      </c>
      <c r="W740">
        <v>0</v>
      </c>
      <c r="X740">
        <v>0</v>
      </c>
      <c r="Y740">
        <v>0</v>
      </c>
      <c r="Z740">
        <v>0</v>
      </c>
      <c r="AA740">
        <v>0</v>
      </c>
      <c r="AB740">
        <v>0</v>
      </c>
      <c r="AC740">
        <v>0</v>
      </c>
      <c r="AD740">
        <v>0</v>
      </c>
      <c r="AE740">
        <v>0</v>
      </c>
      <c r="AF740">
        <v>0</v>
      </c>
      <c r="AG740">
        <v>0</v>
      </c>
      <c r="AH740">
        <v>0</v>
      </c>
      <c r="AI740">
        <v>0</v>
      </c>
      <c r="AJ740">
        <v>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  <c r="AS740">
        <v>0</v>
      </c>
      <c r="AT740">
        <v>0</v>
      </c>
      <c r="AU740">
        <v>0</v>
      </c>
      <c r="AV740">
        <v>0</v>
      </c>
      <c r="AW740">
        <v>0</v>
      </c>
      <c r="AX740">
        <v>0</v>
      </c>
      <c r="AY740">
        <v>0</v>
      </c>
      <c r="AZ740">
        <v>0</v>
      </c>
      <c r="BA740">
        <v>0</v>
      </c>
      <c r="BB740">
        <v>0</v>
      </c>
      <c r="BC740">
        <v>0</v>
      </c>
      <c r="BD740">
        <v>0</v>
      </c>
      <c r="BE740">
        <v>0</v>
      </c>
      <c r="BF740">
        <v>0</v>
      </c>
      <c r="BG740">
        <v>0</v>
      </c>
      <c r="BH740">
        <v>1</v>
      </c>
      <c r="BI740">
        <v>6</v>
      </c>
      <c r="BJ740">
        <v>0</v>
      </c>
      <c r="BK740">
        <v>6</v>
      </c>
      <c r="BL740">
        <v>0</v>
      </c>
      <c r="BM740">
        <v>0</v>
      </c>
      <c r="BN740">
        <v>0</v>
      </c>
      <c r="BO740">
        <v>0</v>
      </c>
      <c r="BQ740" t="s">
        <v>415</v>
      </c>
      <c r="BR740" t="s">
        <v>82</v>
      </c>
      <c r="BS740" s="3">
        <v>45995</v>
      </c>
      <c r="BT740" s="4">
        <v>0.56805555555555554</v>
      </c>
      <c r="BU740" t="s">
        <v>732</v>
      </c>
      <c r="BV740" t="s">
        <v>84</v>
      </c>
      <c r="BY740">
        <v>19200</v>
      </c>
      <c r="BZ740" t="s">
        <v>1512</v>
      </c>
      <c r="CA740" t="s">
        <v>1513</v>
      </c>
      <c r="CC740" t="s">
        <v>266</v>
      </c>
      <c r="CD740">
        <v>1459</v>
      </c>
      <c r="CE740" t="s">
        <v>93</v>
      </c>
      <c r="CF740" s="3">
        <v>45996</v>
      </c>
      <c r="CI740">
        <v>1</v>
      </c>
      <c r="CJ740">
        <v>0</v>
      </c>
      <c r="CK740">
        <v>-1</v>
      </c>
      <c r="CL740" t="s">
        <v>87</v>
      </c>
    </row>
    <row r="741" spans="1:90" x14ac:dyDescent="0.3">
      <c r="A741" t="s">
        <v>72</v>
      </c>
      <c r="B741" t="s">
        <v>73</v>
      </c>
      <c r="C741" t="s">
        <v>74</v>
      </c>
      <c r="E741" t="str">
        <f>"080069678028"</f>
        <v>080069678028</v>
      </c>
      <c r="F741" s="3">
        <v>45995</v>
      </c>
      <c r="G741">
        <v>202609</v>
      </c>
      <c r="H741" t="s">
        <v>75</v>
      </c>
      <c r="I741" t="s">
        <v>76</v>
      </c>
      <c r="J741" t="s">
        <v>77</v>
      </c>
      <c r="K741" t="s">
        <v>78</v>
      </c>
      <c r="L741" t="s">
        <v>109</v>
      </c>
      <c r="M741" t="s">
        <v>110</v>
      </c>
      <c r="N741" t="s">
        <v>111</v>
      </c>
      <c r="O741" t="s">
        <v>89</v>
      </c>
      <c r="P741" t="str">
        <f>"4170071923                    "</f>
        <v xml:space="preserve">4170071923                    </v>
      </c>
      <c r="Q741">
        <v>0</v>
      </c>
      <c r="R741">
        <v>0</v>
      </c>
      <c r="S741">
        <v>0</v>
      </c>
      <c r="T741">
        <v>0</v>
      </c>
      <c r="U741">
        <v>0</v>
      </c>
      <c r="V741">
        <v>0</v>
      </c>
      <c r="W741">
        <v>0</v>
      </c>
      <c r="X741">
        <v>0</v>
      </c>
      <c r="Y741">
        <v>0</v>
      </c>
      <c r="Z741">
        <v>0</v>
      </c>
      <c r="AA741">
        <v>0</v>
      </c>
      <c r="AB741">
        <v>0</v>
      </c>
      <c r="AC741">
        <v>0</v>
      </c>
      <c r="AD741">
        <v>0</v>
      </c>
      <c r="AE741">
        <v>0</v>
      </c>
      <c r="AF741">
        <v>0</v>
      </c>
      <c r="AG741">
        <v>0</v>
      </c>
      <c r="AH741">
        <v>0</v>
      </c>
      <c r="AI741">
        <v>0</v>
      </c>
      <c r="AJ741">
        <v>0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  <c r="AS741">
        <v>0</v>
      </c>
      <c r="AT741">
        <v>0</v>
      </c>
      <c r="AU741">
        <v>0</v>
      </c>
      <c r="AV741">
        <v>0</v>
      </c>
      <c r="AW741">
        <v>0</v>
      </c>
      <c r="AX741">
        <v>0</v>
      </c>
      <c r="AY741">
        <v>0</v>
      </c>
      <c r="AZ741">
        <v>0</v>
      </c>
      <c r="BA741">
        <v>0</v>
      </c>
      <c r="BB741">
        <v>0</v>
      </c>
      <c r="BC741">
        <v>0</v>
      </c>
      <c r="BD741">
        <v>0</v>
      </c>
      <c r="BE741">
        <v>0</v>
      </c>
      <c r="BF741">
        <v>0</v>
      </c>
      <c r="BG741">
        <v>0</v>
      </c>
      <c r="BH741">
        <v>1</v>
      </c>
      <c r="BI741">
        <v>19</v>
      </c>
      <c r="BJ741">
        <v>0</v>
      </c>
      <c r="BK741">
        <v>19</v>
      </c>
      <c r="BL741">
        <v>0</v>
      </c>
      <c r="BM741">
        <v>0</v>
      </c>
      <c r="BN741">
        <v>0</v>
      </c>
      <c r="BO741">
        <v>0</v>
      </c>
      <c r="BQ741" t="s">
        <v>112</v>
      </c>
      <c r="BR741" t="s">
        <v>82</v>
      </c>
      <c r="BS741" s="3">
        <v>45995</v>
      </c>
      <c r="BT741" s="4">
        <v>0.59305555555555556</v>
      </c>
      <c r="BU741" t="s">
        <v>732</v>
      </c>
      <c r="BV741" t="s">
        <v>84</v>
      </c>
      <c r="BY741">
        <v>2944</v>
      </c>
      <c r="BZ741" t="s">
        <v>737</v>
      </c>
      <c r="CA741" t="s">
        <v>1514</v>
      </c>
      <c r="CC741" t="s">
        <v>110</v>
      </c>
      <c r="CD741">
        <v>1748</v>
      </c>
      <c r="CE741" t="s">
        <v>147</v>
      </c>
      <c r="CF741" s="3">
        <v>45996</v>
      </c>
      <c r="CI741">
        <v>1</v>
      </c>
      <c r="CJ741">
        <v>0</v>
      </c>
      <c r="CK741">
        <v>-1</v>
      </c>
      <c r="CL741" t="s">
        <v>87</v>
      </c>
    </row>
    <row r="742" spans="1:90" x14ac:dyDescent="0.3">
      <c r="A742" t="s">
        <v>72</v>
      </c>
      <c r="B742" t="s">
        <v>73</v>
      </c>
      <c r="C742" t="s">
        <v>74</v>
      </c>
      <c r="E742" t="str">
        <f>"R080069683403"</f>
        <v>R080069683403</v>
      </c>
      <c r="F742" s="3">
        <v>45996</v>
      </c>
      <c r="G742">
        <v>202609</v>
      </c>
      <c r="H742" t="s">
        <v>272</v>
      </c>
      <c r="I742" t="s">
        <v>273</v>
      </c>
      <c r="J742" t="s">
        <v>274</v>
      </c>
      <c r="K742" t="s">
        <v>78</v>
      </c>
      <c r="L742" t="s">
        <v>75</v>
      </c>
      <c r="M742" t="s">
        <v>76</v>
      </c>
      <c r="N742" t="s">
        <v>77</v>
      </c>
      <c r="O742" t="s">
        <v>80</v>
      </c>
      <c r="P742" t="str">
        <f>"4170072042                    "</f>
        <v xml:space="preserve">4170072042                    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  <c r="AB742">
        <v>0</v>
      </c>
      <c r="AC742">
        <v>0</v>
      </c>
      <c r="AD742">
        <v>0</v>
      </c>
      <c r="AE742">
        <v>0</v>
      </c>
      <c r="AF742">
        <v>0</v>
      </c>
      <c r="AG742">
        <v>0</v>
      </c>
      <c r="AH742">
        <v>0</v>
      </c>
      <c r="AI742">
        <v>0</v>
      </c>
      <c r="AJ742">
        <v>0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67.72</v>
      </c>
      <c r="AR742">
        <v>0</v>
      </c>
      <c r="AS742">
        <v>0</v>
      </c>
      <c r="AT742">
        <v>0</v>
      </c>
      <c r="AU742">
        <v>0</v>
      </c>
      <c r="AV742">
        <v>0</v>
      </c>
      <c r="AW742">
        <v>0</v>
      </c>
      <c r="AX742">
        <v>0</v>
      </c>
      <c r="AY742">
        <v>0</v>
      </c>
      <c r="AZ742">
        <v>0</v>
      </c>
      <c r="BA742">
        <v>0</v>
      </c>
      <c r="BB742">
        <v>0</v>
      </c>
      <c r="BC742">
        <v>0</v>
      </c>
      <c r="BD742">
        <v>0</v>
      </c>
      <c r="BE742">
        <v>0</v>
      </c>
      <c r="BF742">
        <v>0</v>
      </c>
      <c r="BG742">
        <v>0</v>
      </c>
      <c r="BH742">
        <v>1</v>
      </c>
      <c r="BI742">
        <v>24</v>
      </c>
      <c r="BJ742">
        <v>9.6</v>
      </c>
      <c r="BK742">
        <v>24</v>
      </c>
      <c r="BL742">
        <v>207.92</v>
      </c>
      <c r="BM742">
        <v>31.19</v>
      </c>
      <c r="BN742">
        <v>239.11</v>
      </c>
      <c r="BO742">
        <v>239.11</v>
      </c>
      <c r="BQ742" t="s">
        <v>82</v>
      </c>
      <c r="BR742" t="s">
        <v>275</v>
      </c>
      <c r="BS742" s="3">
        <v>45996</v>
      </c>
      <c r="BT742" s="4">
        <v>0.37708333333333333</v>
      </c>
      <c r="BU742" t="s">
        <v>1107</v>
      </c>
      <c r="BV742" t="s">
        <v>84</v>
      </c>
      <c r="BY742">
        <v>48000</v>
      </c>
      <c r="BZ742" t="s">
        <v>731</v>
      </c>
      <c r="CA742" t="s">
        <v>1515</v>
      </c>
      <c r="CC742" t="s">
        <v>76</v>
      </c>
      <c r="CD742">
        <v>1601</v>
      </c>
      <c r="CE742" t="s">
        <v>147</v>
      </c>
      <c r="CI742">
        <v>3</v>
      </c>
      <c r="CJ742">
        <v>0</v>
      </c>
      <c r="CK742">
        <v>41</v>
      </c>
      <c r="CL742" t="s">
        <v>87</v>
      </c>
    </row>
    <row r="743" spans="1:90" x14ac:dyDescent="0.3">
      <c r="A743" t="s">
        <v>72</v>
      </c>
      <c r="B743" t="s">
        <v>73</v>
      </c>
      <c r="C743" t="s">
        <v>74</v>
      </c>
      <c r="E743" t="str">
        <f>"RR080069683403"</f>
        <v>RR080069683403</v>
      </c>
      <c r="F743" s="3">
        <v>45996</v>
      </c>
      <c r="G743">
        <v>202609</v>
      </c>
      <c r="H743" t="s">
        <v>75</v>
      </c>
      <c r="I743" t="s">
        <v>76</v>
      </c>
      <c r="J743" t="s">
        <v>77</v>
      </c>
      <c r="K743" t="s">
        <v>78</v>
      </c>
      <c r="L743" t="s">
        <v>272</v>
      </c>
      <c r="M743" t="s">
        <v>273</v>
      </c>
      <c r="N743" t="s">
        <v>274</v>
      </c>
      <c r="O743" t="s">
        <v>80</v>
      </c>
      <c r="P743" t="str">
        <f>"4170072042                    "</f>
        <v xml:space="preserve">4170072042                    </v>
      </c>
      <c r="Q743">
        <v>0</v>
      </c>
      <c r="R743">
        <v>0</v>
      </c>
      <c r="S743">
        <v>0</v>
      </c>
      <c r="T743">
        <v>0</v>
      </c>
      <c r="U743">
        <v>0</v>
      </c>
      <c r="V743">
        <v>0</v>
      </c>
      <c r="W743">
        <v>0</v>
      </c>
      <c r="X743">
        <v>0</v>
      </c>
      <c r="Y743">
        <v>0</v>
      </c>
      <c r="Z743">
        <v>0</v>
      </c>
      <c r="AA743">
        <v>0</v>
      </c>
      <c r="AB743">
        <v>0</v>
      </c>
      <c r="AC743">
        <v>0</v>
      </c>
      <c r="AD743">
        <v>0</v>
      </c>
      <c r="AE743">
        <v>0</v>
      </c>
      <c r="AF743">
        <v>0</v>
      </c>
      <c r="AG743">
        <v>0</v>
      </c>
      <c r="AH743">
        <v>0</v>
      </c>
      <c r="AI743">
        <v>0</v>
      </c>
      <c r="AJ743">
        <v>0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67.72</v>
      </c>
      <c r="AR743">
        <v>0</v>
      </c>
      <c r="AS743">
        <v>0</v>
      </c>
      <c r="AT743">
        <v>0</v>
      </c>
      <c r="AU743">
        <v>0</v>
      </c>
      <c r="AV743">
        <v>0</v>
      </c>
      <c r="AW743">
        <v>0</v>
      </c>
      <c r="AX743">
        <v>0</v>
      </c>
      <c r="AY743">
        <v>0</v>
      </c>
      <c r="AZ743">
        <v>0</v>
      </c>
      <c r="BA743">
        <v>0</v>
      </c>
      <c r="BB743">
        <v>0</v>
      </c>
      <c r="BC743">
        <v>0</v>
      </c>
      <c r="BD743">
        <v>0</v>
      </c>
      <c r="BE743">
        <v>0</v>
      </c>
      <c r="BF743">
        <v>0</v>
      </c>
      <c r="BG743">
        <v>0</v>
      </c>
      <c r="BH743">
        <v>1</v>
      </c>
      <c r="BI743">
        <v>24</v>
      </c>
      <c r="BJ743">
        <v>9.6</v>
      </c>
      <c r="BK743">
        <v>24</v>
      </c>
      <c r="BL743">
        <v>207.92</v>
      </c>
      <c r="BM743">
        <v>31.19</v>
      </c>
      <c r="BN743">
        <v>239.11</v>
      </c>
      <c r="BO743">
        <v>239.11</v>
      </c>
      <c r="BQ743" t="s">
        <v>275</v>
      </c>
      <c r="BR743" t="s">
        <v>82</v>
      </c>
      <c r="BS743" s="3">
        <v>45996</v>
      </c>
      <c r="BT743" s="4">
        <v>0.3888888888888889</v>
      </c>
      <c r="BU743" t="s">
        <v>1516</v>
      </c>
      <c r="BV743" t="s">
        <v>84</v>
      </c>
      <c r="BY743">
        <v>48000</v>
      </c>
      <c r="BZ743" t="s">
        <v>731</v>
      </c>
      <c r="CC743" t="s">
        <v>273</v>
      </c>
      <c r="CD743">
        <v>6220</v>
      </c>
      <c r="CE743" t="s">
        <v>147</v>
      </c>
      <c r="CF743" s="3">
        <v>45996</v>
      </c>
      <c r="CI743">
        <v>3</v>
      </c>
      <c r="CJ743">
        <v>0</v>
      </c>
      <c r="CK743">
        <v>41</v>
      </c>
      <c r="CL743" t="s">
        <v>87</v>
      </c>
    </row>
    <row r="744" spans="1:90" x14ac:dyDescent="0.3">
      <c r="A744" t="s">
        <v>72</v>
      </c>
      <c r="B744" t="s">
        <v>73</v>
      </c>
      <c r="C744" t="s">
        <v>74</v>
      </c>
      <c r="E744" t="str">
        <f>"080069698187"</f>
        <v>080069698187</v>
      </c>
      <c r="F744" s="3">
        <v>45996</v>
      </c>
      <c r="G744">
        <v>202609</v>
      </c>
      <c r="H744" t="s">
        <v>75</v>
      </c>
      <c r="I744" t="s">
        <v>76</v>
      </c>
      <c r="J744" t="s">
        <v>77</v>
      </c>
      <c r="K744" t="s">
        <v>78</v>
      </c>
      <c r="L744" t="s">
        <v>295</v>
      </c>
      <c r="M744" t="s">
        <v>296</v>
      </c>
      <c r="N744" t="s">
        <v>1517</v>
      </c>
      <c r="O744" t="s">
        <v>80</v>
      </c>
      <c r="P744" t="str">
        <f>"4170070941                    "</f>
        <v xml:space="preserve">4170070941                    </v>
      </c>
      <c r="Q744">
        <v>0</v>
      </c>
      <c r="R744">
        <v>0</v>
      </c>
      <c r="S744">
        <v>0</v>
      </c>
      <c r="T744">
        <v>0</v>
      </c>
      <c r="U744">
        <v>0</v>
      </c>
      <c r="V744">
        <v>0</v>
      </c>
      <c r="W744">
        <v>0</v>
      </c>
      <c r="X744">
        <v>0</v>
      </c>
      <c r="Y744">
        <v>0</v>
      </c>
      <c r="Z744">
        <v>0</v>
      </c>
      <c r="AA744">
        <v>0</v>
      </c>
      <c r="AB744">
        <v>0</v>
      </c>
      <c r="AC744">
        <v>0</v>
      </c>
      <c r="AD744">
        <v>0</v>
      </c>
      <c r="AE744">
        <v>0</v>
      </c>
      <c r="AF744">
        <v>0</v>
      </c>
      <c r="AG744">
        <v>0</v>
      </c>
      <c r="AH744">
        <v>0</v>
      </c>
      <c r="AI744">
        <v>0</v>
      </c>
      <c r="AJ744">
        <v>0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171.41</v>
      </c>
      <c r="AR744">
        <v>0</v>
      </c>
      <c r="AS744">
        <v>0</v>
      </c>
      <c r="AT744">
        <v>0</v>
      </c>
      <c r="AU744">
        <v>0</v>
      </c>
      <c r="AV744">
        <v>0</v>
      </c>
      <c r="AW744">
        <v>0</v>
      </c>
      <c r="AX744">
        <v>0</v>
      </c>
      <c r="AY744">
        <v>0</v>
      </c>
      <c r="AZ744">
        <v>0</v>
      </c>
      <c r="BA744">
        <v>0</v>
      </c>
      <c r="BB744">
        <v>0</v>
      </c>
      <c r="BC744">
        <v>0</v>
      </c>
      <c r="BD744">
        <v>0</v>
      </c>
      <c r="BE744">
        <v>0</v>
      </c>
      <c r="BF744">
        <v>0</v>
      </c>
      <c r="BG744">
        <v>0</v>
      </c>
      <c r="BH744">
        <v>2</v>
      </c>
      <c r="BI744">
        <v>135</v>
      </c>
      <c r="BJ744">
        <v>116.9</v>
      </c>
      <c r="BK744">
        <v>135</v>
      </c>
      <c r="BL744">
        <v>516.92999999999995</v>
      </c>
      <c r="BM744">
        <v>77.540000000000006</v>
      </c>
      <c r="BN744">
        <v>594.47</v>
      </c>
      <c r="BO744">
        <v>594.47</v>
      </c>
      <c r="BQ744" t="s">
        <v>1518</v>
      </c>
      <c r="BR744" t="s">
        <v>82</v>
      </c>
      <c r="BS744" s="3">
        <v>45999</v>
      </c>
      <c r="BT744" s="4">
        <v>0.61736111111111114</v>
      </c>
      <c r="BU744" t="s">
        <v>1519</v>
      </c>
      <c r="BV744" t="s">
        <v>84</v>
      </c>
      <c r="BY744">
        <v>584500</v>
      </c>
      <c r="CC744" t="s">
        <v>296</v>
      </c>
      <c r="CD744">
        <v>1501</v>
      </c>
      <c r="CE744" t="s">
        <v>229</v>
      </c>
      <c r="CF744" s="3">
        <v>45999</v>
      </c>
      <c r="CI744">
        <v>1</v>
      </c>
      <c r="CJ744">
        <v>1</v>
      </c>
      <c r="CK744">
        <v>42</v>
      </c>
      <c r="CL744" t="s">
        <v>87</v>
      </c>
    </row>
    <row r="745" spans="1:90" x14ac:dyDescent="0.3">
      <c r="A745" t="s">
        <v>72</v>
      </c>
      <c r="B745" t="s">
        <v>73</v>
      </c>
      <c r="C745" t="s">
        <v>74</v>
      </c>
      <c r="E745" t="str">
        <f>"080069699926"</f>
        <v>080069699926</v>
      </c>
      <c r="F745" s="3">
        <v>45996</v>
      </c>
      <c r="G745">
        <v>202609</v>
      </c>
      <c r="H745" t="s">
        <v>75</v>
      </c>
      <c r="I745" t="s">
        <v>76</v>
      </c>
      <c r="J745" t="s">
        <v>77</v>
      </c>
      <c r="K745" t="s">
        <v>78</v>
      </c>
      <c r="L745" t="s">
        <v>202</v>
      </c>
      <c r="M745" t="s">
        <v>203</v>
      </c>
      <c r="N745" t="s">
        <v>204</v>
      </c>
      <c r="O745" t="s">
        <v>89</v>
      </c>
      <c r="P745" t="str">
        <f>"4170071028                    "</f>
        <v xml:space="preserve">4170071028                    </v>
      </c>
      <c r="Q745">
        <v>0</v>
      </c>
      <c r="R745">
        <v>0</v>
      </c>
      <c r="S745">
        <v>0</v>
      </c>
      <c r="T745">
        <v>0</v>
      </c>
      <c r="U745">
        <v>0</v>
      </c>
      <c r="V745">
        <v>0</v>
      </c>
      <c r="W745">
        <v>0</v>
      </c>
      <c r="X745">
        <v>0</v>
      </c>
      <c r="Y745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>
        <v>0</v>
      </c>
      <c r="AG745">
        <v>0</v>
      </c>
      <c r="AH745">
        <v>0</v>
      </c>
      <c r="AI745">
        <v>0</v>
      </c>
      <c r="AJ745">
        <v>0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49.45</v>
      </c>
      <c r="AR745">
        <v>0</v>
      </c>
      <c r="AS745">
        <v>0</v>
      </c>
      <c r="AT745">
        <v>0</v>
      </c>
      <c r="AU745">
        <v>0</v>
      </c>
      <c r="AV745">
        <v>0</v>
      </c>
      <c r="AW745">
        <v>0</v>
      </c>
      <c r="AX745">
        <v>0</v>
      </c>
      <c r="AY745">
        <v>0</v>
      </c>
      <c r="AZ745">
        <v>0</v>
      </c>
      <c r="BA745">
        <v>0</v>
      </c>
      <c r="BB745">
        <v>0</v>
      </c>
      <c r="BC745">
        <v>0</v>
      </c>
      <c r="BD745">
        <v>0</v>
      </c>
      <c r="BE745">
        <v>0</v>
      </c>
      <c r="BF745">
        <v>0</v>
      </c>
      <c r="BG745">
        <v>0</v>
      </c>
      <c r="BH745">
        <v>1</v>
      </c>
      <c r="BI745">
        <v>1</v>
      </c>
      <c r="BJ745">
        <v>0.2</v>
      </c>
      <c r="BK745">
        <v>1</v>
      </c>
      <c r="BL745">
        <v>147.38</v>
      </c>
      <c r="BM745">
        <v>22.11</v>
      </c>
      <c r="BN745">
        <v>169.49</v>
      </c>
      <c r="BO745">
        <v>169.49</v>
      </c>
      <c r="BQ745" t="s">
        <v>205</v>
      </c>
      <c r="BR745" t="s">
        <v>82</v>
      </c>
      <c r="BS745" s="3">
        <v>45999</v>
      </c>
      <c r="BT745" s="4">
        <v>0.41111111111111109</v>
      </c>
      <c r="BU745" t="s">
        <v>1520</v>
      </c>
      <c r="BV745" t="s">
        <v>84</v>
      </c>
      <c r="BY745">
        <v>1200</v>
      </c>
      <c r="CA745">
        <v>7908245451080</v>
      </c>
      <c r="CC745" t="s">
        <v>203</v>
      </c>
      <c r="CD745">
        <v>2531</v>
      </c>
      <c r="CE745" t="s">
        <v>134</v>
      </c>
      <c r="CF745" s="3">
        <v>46000</v>
      </c>
      <c r="CI745">
        <v>1</v>
      </c>
      <c r="CJ745">
        <v>1</v>
      </c>
      <c r="CK745">
        <v>23</v>
      </c>
      <c r="CL745" t="s">
        <v>87</v>
      </c>
    </row>
    <row r="746" spans="1:90" x14ac:dyDescent="0.3">
      <c r="A746" t="s">
        <v>72</v>
      </c>
      <c r="B746" t="s">
        <v>73</v>
      </c>
      <c r="C746" t="s">
        <v>74</v>
      </c>
      <c r="E746" t="str">
        <f>"080069700110"</f>
        <v>080069700110</v>
      </c>
      <c r="F746" s="3">
        <v>45996</v>
      </c>
      <c r="G746">
        <v>202609</v>
      </c>
      <c r="H746" t="s">
        <v>75</v>
      </c>
      <c r="I746" t="s">
        <v>76</v>
      </c>
      <c r="J746" t="s">
        <v>77</v>
      </c>
      <c r="K746" t="s">
        <v>78</v>
      </c>
      <c r="L746" t="s">
        <v>502</v>
      </c>
      <c r="M746" t="s">
        <v>503</v>
      </c>
      <c r="N746" t="s">
        <v>678</v>
      </c>
      <c r="O746" t="s">
        <v>80</v>
      </c>
      <c r="P746" t="str">
        <f>"4170072027                    "</f>
        <v xml:space="preserve">4170072027                    </v>
      </c>
      <c r="Q746">
        <v>0</v>
      </c>
      <c r="R746">
        <v>0</v>
      </c>
      <c r="S746">
        <v>0</v>
      </c>
      <c r="T746">
        <v>0</v>
      </c>
      <c r="U746">
        <v>0</v>
      </c>
      <c r="V746">
        <v>0</v>
      </c>
      <c r="W746">
        <v>0</v>
      </c>
      <c r="X746">
        <v>0</v>
      </c>
      <c r="Y746">
        <v>0</v>
      </c>
      <c r="Z746">
        <v>0</v>
      </c>
      <c r="AA746">
        <v>0</v>
      </c>
      <c r="AB746">
        <v>0</v>
      </c>
      <c r="AC746">
        <v>0</v>
      </c>
      <c r="AD746">
        <v>0</v>
      </c>
      <c r="AE746">
        <v>0</v>
      </c>
      <c r="AF746">
        <v>0</v>
      </c>
      <c r="AG746">
        <v>0</v>
      </c>
      <c r="AH746">
        <v>0</v>
      </c>
      <c r="AI746">
        <v>0</v>
      </c>
      <c r="AJ746">
        <v>0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0</v>
      </c>
      <c r="AQ746">
        <v>50.31</v>
      </c>
      <c r="AR746">
        <v>0</v>
      </c>
      <c r="AS746">
        <v>0</v>
      </c>
      <c r="AT746">
        <v>0</v>
      </c>
      <c r="AU746">
        <v>0</v>
      </c>
      <c r="AV746">
        <v>0</v>
      </c>
      <c r="AW746">
        <v>0</v>
      </c>
      <c r="AX746">
        <v>0</v>
      </c>
      <c r="AY746">
        <v>0</v>
      </c>
      <c r="AZ746">
        <v>0</v>
      </c>
      <c r="BA746">
        <v>0</v>
      </c>
      <c r="BB746">
        <v>0</v>
      </c>
      <c r="BC746">
        <v>0</v>
      </c>
      <c r="BD746">
        <v>0</v>
      </c>
      <c r="BE746">
        <v>0</v>
      </c>
      <c r="BF746">
        <v>0</v>
      </c>
      <c r="BG746">
        <v>0</v>
      </c>
      <c r="BH746">
        <v>3</v>
      </c>
      <c r="BI746">
        <v>25</v>
      </c>
      <c r="BJ746">
        <v>25.8</v>
      </c>
      <c r="BK746">
        <v>26</v>
      </c>
      <c r="BL746">
        <v>156.03</v>
      </c>
      <c r="BM746">
        <v>23.4</v>
      </c>
      <c r="BN746">
        <v>179.43</v>
      </c>
      <c r="BO746">
        <v>179.43</v>
      </c>
      <c r="BQ746" t="s">
        <v>1222</v>
      </c>
      <c r="BR746" t="s">
        <v>82</v>
      </c>
      <c r="BS746" s="3">
        <v>45999</v>
      </c>
      <c r="BT746" s="4">
        <v>0.45833333333333331</v>
      </c>
      <c r="BU746" t="s">
        <v>1521</v>
      </c>
      <c r="BV746" t="s">
        <v>84</v>
      </c>
      <c r="BY746">
        <v>129200</v>
      </c>
      <c r="CA746" t="s">
        <v>1522</v>
      </c>
      <c r="CC746" t="s">
        <v>503</v>
      </c>
      <c r="CD746">
        <v>1559</v>
      </c>
      <c r="CE746" t="s">
        <v>134</v>
      </c>
      <c r="CF746" s="3">
        <v>45999</v>
      </c>
      <c r="CI746">
        <v>1</v>
      </c>
      <c r="CJ746">
        <v>1</v>
      </c>
      <c r="CK746">
        <v>42</v>
      </c>
      <c r="CL746" t="s">
        <v>87</v>
      </c>
    </row>
    <row r="747" spans="1:90" x14ac:dyDescent="0.3">
      <c r="A747" t="s">
        <v>72</v>
      </c>
      <c r="B747" t="s">
        <v>73</v>
      </c>
      <c r="C747" t="s">
        <v>74</v>
      </c>
      <c r="E747" t="str">
        <f>"080069700173"</f>
        <v>080069700173</v>
      </c>
      <c r="F747" s="3">
        <v>45996</v>
      </c>
      <c r="G747">
        <v>202609</v>
      </c>
      <c r="H747" t="s">
        <v>75</v>
      </c>
      <c r="I747" t="s">
        <v>76</v>
      </c>
      <c r="J747" t="s">
        <v>77</v>
      </c>
      <c r="K747" t="s">
        <v>78</v>
      </c>
      <c r="L747" t="s">
        <v>156</v>
      </c>
      <c r="M747" t="s">
        <v>157</v>
      </c>
      <c r="N747" t="s">
        <v>446</v>
      </c>
      <c r="O747" t="s">
        <v>80</v>
      </c>
      <c r="P747" t="str">
        <f>"4170071757                    "</f>
        <v xml:space="preserve">4170071757                    </v>
      </c>
      <c r="Q747">
        <v>0</v>
      </c>
      <c r="R747">
        <v>0</v>
      </c>
      <c r="S747">
        <v>0</v>
      </c>
      <c r="T747">
        <v>0</v>
      </c>
      <c r="U747">
        <v>0</v>
      </c>
      <c r="V747">
        <v>0</v>
      </c>
      <c r="W747">
        <v>0</v>
      </c>
      <c r="X747">
        <v>0</v>
      </c>
      <c r="Y747">
        <v>0</v>
      </c>
      <c r="Z747">
        <v>0</v>
      </c>
      <c r="AA747">
        <v>0</v>
      </c>
      <c r="AB747">
        <v>0</v>
      </c>
      <c r="AC747">
        <v>0</v>
      </c>
      <c r="AD747">
        <v>0</v>
      </c>
      <c r="AE747">
        <v>0</v>
      </c>
      <c r="AF747">
        <v>0</v>
      </c>
      <c r="AG747">
        <v>0</v>
      </c>
      <c r="AH747">
        <v>0</v>
      </c>
      <c r="AI747">
        <v>0</v>
      </c>
      <c r="AJ747">
        <v>0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63.64</v>
      </c>
      <c r="AR747">
        <v>0</v>
      </c>
      <c r="AS747">
        <v>0</v>
      </c>
      <c r="AT747">
        <v>0</v>
      </c>
      <c r="AU747">
        <v>0</v>
      </c>
      <c r="AV747">
        <v>0</v>
      </c>
      <c r="AW747">
        <v>0</v>
      </c>
      <c r="AX747">
        <v>0</v>
      </c>
      <c r="AY747">
        <v>0</v>
      </c>
      <c r="AZ747">
        <v>0</v>
      </c>
      <c r="BA747">
        <v>0</v>
      </c>
      <c r="BB747">
        <v>0</v>
      </c>
      <c r="BC747">
        <v>0</v>
      </c>
      <c r="BD747">
        <v>0</v>
      </c>
      <c r="BE747">
        <v>0</v>
      </c>
      <c r="BF747">
        <v>0</v>
      </c>
      <c r="BG747">
        <v>0</v>
      </c>
      <c r="BH747">
        <v>2</v>
      </c>
      <c r="BI747">
        <v>13.2</v>
      </c>
      <c r="BJ747">
        <v>22</v>
      </c>
      <c r="BK747">
        <v>22</v>
      </c>
      <c r="BL747">
        <v>195.76</v>
      </c>
      <c r="BM747">
        <v>29.36</v>
      </c>
      <c r="BN747">
        <v>225.12</v>
      </c>
      <c r="BO747">
        <v>225.12</v>
      </c>
      <c r="BQ747" t="s">
        <v>447</v>
      </c>
      <c r="BR747" t="s">
        <v>82</v>
      </c>
      <c r="BS747" s="3">
        <v>46000</v>
      </c>
      <c r="BT747" s="4">
        <v>0.40069444444444446</v>
      </c>
      <c r="BU747" t="s">
        <v>1045</v>
      </c>
      <c r="BV747" t="s">
        <v>84</v>
      </c>
      <c r="BY747">
        <v>110031.75</v>
      </c>
      <c r="CA747" t="s">
        <v>1217</v>
      </c>
      <c r="CC747" t="s">
        <v>157</v>
      </c>
      <c r="CD747">
        <v>7530</v>
      </c>
      <c r="CE747" t="s">
        <v>86</v>
      </c>
      <c r="CF747" s="3">
        <v>46001</v>
      </c>
      <c r="CI747">
        <v>3</v>
      </c>
      <c r="CJ747">
        <v>2</v>
      </c>
      <c r="CK747">
        <v>41</v>
      </c>
      <c r="CL747" t="s">
        <v>87</v>
      </c>
    </row>
    <row r="748" spans="1:90" x14ac:dyDescent="0.3">
      <c r="A748" t="s">
        <v>72</v>
      </c>
      <c r="B748" t="s">
        <v>73</v>
      </c>
      <c r="C748" t="s">
        <v>74</v>
      </c>
      <c r="E748" t="str">
        <f>"080069700637"</f>
        <v>080069700637</v>
      </c>
      <c r="F748" s="3">
        <v>45996</v>
      </c>
      <c r="G748">
        <v>202609</v>
      </c>
      <c r="H748" t="s">
        <v>75</v>
      </c>
      <c r="I748" t="s">
        <v>76</v>
      </c>
      <c r="J748" t="s">
        <v>77</v>
      </c>
      <c r="K748" t="s">
        <v>78</v>
      </c>
      <c r="L748" t="s">
        <v>302</v>
      </c>
      <c r="M748" t="s">
        <v>303</v>
      </c>
      <c r="N748" t="s">
        <v>795</v>
      </c>
      <c r="O748" t="s">
        <v>80</v>
      </c>
      <c r="P748" t="str">
        <f>"4170072006                    "</f>
        <v xml:space="preserve">4170072006                    </v>
      </c>
      <c r="Q748">
        <v>0</v>
      </c>
      <c r="R748">
        <v>0</v>
      </c>
      <c r="S748">
        <v>0</v>
      </c>
      <c r="T748">
        <v>0</v>
      </c>
      <c r="U748">
        <v>0</v>
      </c>
      <c r="V748">
        <v>0</v>
      </c>
      <c r="W748">
        <v>0</v>
      </c>
      <c r="X748">
        <v>0</v>
      </c>
      <c r="Y748">
        <v>0</v>
      </c>
      <c r="Z748">
        <v>0</v>
      </c>
      <c r="AA748">
        <v>0</v>
      </c>
      <c r="AB748">
        <v>0</v>
      </c>
      <c r="AC748">
        <v>0</v>
      </c>
      <c r="AD748">
        <v>0</v>
      </c>
      <c r="AE748">
        <v>0</v>
      </c>
      <c r="AF748">
        <v>0</v>
      </c>
      <c r="AG748">
        <v>0</v>
      </c>
      <c r="AH748">
        <v>0</v>
      </c>
      <c r="AI748">
        <v>0</v>
      </c>
      <c r="AJ748">
        <v>0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55.48</v>
      </c>
      <c r="AR748">
        <v>0</v>
      </c>
      <c r="AS748">
        <v>0</v>
      </c>
      <c r="AT748">
        <v>0</v>
      </c>
      <c r="AU748">
        <v>0</v>
      </c>
      <c r="AV748">
        <v>0</v>
      </c>
      <c r="AW748">
        <v>0</v>
      </c>
      <c r="AX748">
        <v>0</v>
      </c>
      <c r="AY748">
        <v>0</v>
      </c>
      <c r="AZ748">
        <v>0</v>
      </c>
      <c r="BA748">
        <v>0</v>
      </c>
      <c r="BB748">
        <v>0</v>
      </c>
      <c r="BC748">
        <v>0</v>
      </c>
      <c r="BD748">
        <v>0</v>
      </c>
      <c r="BE748">
        <v>0</v>
      </c>
      <c r="BF748">
        <v>0</v>
      </c>
      <c r="BG748">
        <v>0</v>
      </c>
      <c r="BH748">
        <v>2</v>
      </c>
      <c r="BI748">
        <v>18</v>
      </c>
      <c r="BJ748">
        <v>10.1</v>
      </c>
      <c r="BK748">
        <v>18</v>
      </c>
      <c r="BL748">
        <v>171.44</v>
      </c>
      <c r="BM748">
        <v>25.72</v>
      </c>
      <c r="BN748">
        <v>197.16</v>
      </c>
      <c r="BO748">
        <v>197.16</v>
      </c>
      <c r="BQ748" t="s">
        <v>796</v>
      </c>
      <c r="BR748" t="s">
        <v>82</v>
      </c>
      <c r="BS748" s="3">
        <v>45999</v>
      </c>
      <c r="BT748" s="4">
        <v>0.32777777777777778</v>
      </c>
      <c r="BU748" t="s">
        <v>1137</v>
      </c>
      <c r="BV748" t="s">
        <v>84</v>
      </c>
      <c r="BY748">
        <v>50328</v>
      </c>
      <c r="CA748">
        <v>9107126013089</v>
      </c>
      <c r="CC748" t="s">
        <v>303</v>
      </c>
      <c r="CD748" s="5" t="s">
        <v>664</v>
      </c>
      <c r="CE748" t="s">
        <v>134</v>
      </c>
      <c r="CF748" s="3">
        <v>46000</v>
      </c>
      <c r="CI748">
        <v>1</v>
      </c>
      <c r="CJ748">
        <v>1</v>
      </c>
      <c r="CK748">
        <v>41</v>
      </c>
      <c r="CL748" t="s">
        <v>87</v>
      </c>
    </row>
    <row r="749" spans="1:90" x14ac:dyDescent="0.3">
      <c r="A749" t="s">
        <v>72</v>
      </c>
      <c r="B749" t="s">
        <v>73</v>
      </c>
      <c r="C749" t="s">
        <v>74</v>
      </c>
      <c r="E749" t="str">
        <f>"080069700734"</f>
        <v>080069700734</v>
      </c>
      <c r="F749" s="3">
        <v>45996</v>
      </c>
      <c r="G749">
        <v>202609</v>
      </c>
      <c r="H749" t="s">
        <v>75</v>
      </c>
      <c r="I749" t="s">
        <v>76</v>
      </c>
      <c r="J749" t="s">
        <v>77</v>
      </c>
      <c r="K749" t="s">
        <v>78</v>
      </c>
      <c r="L749" t="s">
        <v>141</v>
      </c>
      <c r="M749" t="s">
        <v>142</v>
      </c>
      <c r="N749" t="s">
        <v>856</v>
      </c>
      <c r="O749" t="s">
        <v>89</v>
      </c>
      <c r="P749" t="str">
        <f>"4170072038                    "</f>
        <v xml:space="preserve">4170072038                    </v>
      </c>
      <c r="Q749">
        <v>0</v>
      </c>
      <c r="R749">
        <v>0</v>
      </c>
      <c r="S749">
        <v>0</v>
      </c>
      <c r="T749">
        <v>0</v>
      </c>
      <c r="U749">
        <v>0</v>
      </c>
      <c r="V749">
        <v>0</v>
      </c>
      <c r="W749">
        <v>0</v>
      </c>
      <c r="X749">
        <v>0</v>
      </c>
      <c r="Y749">
        <v>0</v>
      </c>
      <c r="Z749">
        <v>0</v>
      </c>
      <c r="AA749">
        <v>0</v>
      </c>
      <c r="AB749">
        <v>0</v>
      </c>
      <c r="AC749">
        <v>0</v>
      </c>
      <c r="AD749">
        <v>0</v>
      </c>
      <c r="AE749">
        <v>0</v>
      </c>
      <c r="AF749">
        <v>0</v>
      </c>
      <c r="AG749">
        <v>0</v>
      </c>
      <c r="AH749">
        <v>0</v>
      </c>
      <c r="AI749">
        <v>0</v>
      </c>
      <c r="AJ749">
        <v>0</v>
      </c>
      <c r="AK749">
        <v>0</v>
      </c>
      <c r="AL749">
        <v>0</v>
      </c>
      <c r="AM749">
        <v>0</v>
      </c>
      <c r="AN749">
        <v>0</v>
      </c>
      <c r="AO749">
        <v>0</v>
      </c>
      <c r="AP749">
        <v>0</v>
      </c>
      <c r="AQ749">
        <v>25.52</v>
      </c>
      <c r="AR749">
        <v>0</v>
      </c>
      <c r="AS749">
        <v>0</v>
      </c>
      <c r="AT749">
        <v>0</v>
      </c>
      <c r="AU749">
        <v>0</v>
      </c>
      <c r="AV749">
        <v>0</v>
      </c>
      <c r="AW749">
        <v>0</v>
      </c>
      <c r="AX749">
        <v>0</v>
      </c>
      <c r="AY749">
        <v>0</v>
      </c>
      <c r="AZ749">
        <v>0</v>
      </c>
      <c r="BA749">
        <v>0</v>
      </c>
      <c r="BB749">
        <v>0</v>
      </c>
      <c r="BC749">
        <v>0</v>
      </c>
      <c r="BD749">
        <v>0</v>
      </c>
      <c r="BE749">
        <v>0</v>
      </c>
      <c r="BF749">
        <v>0</v>
      </c>
      <c r="BG749">
        <v>0</v>
      </c>
      <c r="BH749">
        <v>1</v>
      </c>
      <c r="BI749">
        <v>1.1000000000000001</v>
      </c>
      <c r="BJ749">
        <v>1.2</v>
      </c>
      <c r="BK749">
        <v>1.5</v>
      </c>
      <c r="BL749">
        <v>76.06</v>
      </c>
      <c r="BM749">
        <v>11.41</v>
      </c>
      <c r="BN749">
        <v>87.47</v>
      </c>
      <c r="BO749">
        <v>87.47</v>
      </c>
      <c r="BQ749" t="s">
        <v>857</v>
      </c>
      <c r="BR749" t="s">
        <v>82</v>
      </c>
      <c r="BS749" s="3">
        <v>45999</v>
      </c>
      <c r="BT749" s="4">
        <v>0.41041666666666665</v>
      </c>
      <c r="BU749" t="s">
        <v>1523</v>
      </c>
      <c r="BV749" t="s">
        <v>84</v>
      </c>
      <c r="BY749">
        <v>5774.86</v>
      </c>
      <c r="CA749" t="s">
        <v>1228</v>
      </c>
      <c r="CC749" t="s">
        <v>142</v>
      </c>
      <c r="CD749">
        <v>6000</v>
      </c>
      <c r="CE749" t="s">
        <v>86</v>
      </c>
      <c r="CF749" s="3">
        <v>45999</v>
      </c>
      <c r="CI749">
        <v>1</v>
      </c>
      <c r="CJ749">
        <v>1</v>
      </c>
      <c r="CK749">
        <v>21</v>
      </c>
      <c r="CL749" t="s">
        <v>87</v>
      </c>
    </row>
    <row r="750" spans="1:90" x14ac:dyDescent="0.3">
      <c r="A750" t="s">
        <v>72</v>
      </c>
      <c r="B750" t="s">
        <v>73</v>
      </c>
      <c r="C750" t="s">
        <v>74</v>
      </c>
      <c r="E750" t="str">
        <f>"080069700818"</f>
        <v>080069700818</v>
      </c>
      <c r="F750" s="3">
        <v>45996</v>
      </c>
      <c r="G750">
        <v>202609</v>
      </c>
      <c r="H750" t="s">
        <v>75</v>
      </c>
      <c r="I750" t="s">
        <v>76</v>
      </c>
      <c r="J750" t="s">
        <v>77</v>
      </c>
      <c r="K750" t="s">
        <v>78</v>
      </c>
      <c r="L750" t="s">
        <v>366</v>
      </c>
      <c r="M750" t="s">
        <v>367</v>
      </c>
      <c r="N750" t="s">
        <v>521</v>
      </c>
      <c r="O750" t="s">
        <v>80</v>
      </c>
      <c r="P750" t="str">
        <f>"4170072026                    "</f>
        <v xml:space="preserve">4170072026                    </v>
      </c>
      <c r="Q750">
        <v>0</v>
      </c>
      <c r="R750">
        <v>0</v>
      </c>
      <c r="S750">
        <v>0</v>
      </c>
      <c r="T750">
        <v>0</v>
      </c>
      <c r="U750">
        <v>0</v>
      </c>
      <c r="V750">
        <v>0</v>
      </c>
      <c r="W750">
        <v>0</v>
      </c>
      <c r="X750">
        <v>0</v>
      </c>
      <c r="Y750">
        <v>0</v>
      </c>
      <c r="Z750">
        <v>0</v>
      </c>
      <c r="AA750">
        <v>0</v>
      </c>
      <c r="AB750">
        <v>0</v>
      </c>
      <c r="AC750">
        <v>0</v>
      </c>
      <c r="AD750">
        <v>0</v>
      </c>
      <c r="AE750">
        <v>0</v>
      </c>
      <c r="AF750">
        <v>0</v>
      </c>
      <c r="AG750">
        <v>0</v>
      </c>
      <c r="AH750">
        <v>0</v>
      </c>
      <c r="AI750">
        <v>0</v>
      </c>
      <c r="AJ750">
        <v>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90.95</v>
      </c>
      <c r="AR750">
        <v>0</v>
      </c>
      <c r="AS750">
        <v>0</v>
      </c>
      <c r="AT750">
        <v>0</v>
      </c>
      <c r="AU750">
        <v>0</v>
      </c>
      <c r="AV750">
        <v>0</v>
      </c>
      <c r="AW750">
        <v>0</v>
      </c>
      <c r="AX750">
        <v>0</v>
      </c>
      <c r="AY750">
        <v>0</v>
      </c>
      <c r="AZ750">
        <v>0</v>
      </c>
      <c r="BA750">
        <v>0</v>
      </c>
      <c r="BB750">
        <v>0</v>
      </c>
      <c r="BC750">
        <v>0</v>
      </c>
      <c r="BD750">
        <v>0</v>
      </c>
      <c r="BE750">
        <v>0</v>
      </c>
      <c r="BF750">
        <v>0</v>
      </c>
      <c r="BG750">
        <v>0</v>
      </c>
      <c r="BH750">
        <v>2</v>
      </c>
      <c r="BI750">
        <v>21</v>
      </c>
      <c r="BJ750">
        <v>19.7</v>
      </c>
      <c r="BK750">
        <v>21</v>
      </c>
      <c r="BL750">
        <v>277.14</v>
      </c>
      <c r="BM750">
        <v>41.57</v>
      </c>
      <c r="BN750">
        <v>318.70999999999998</v>
      </c>
      <c r="BO750">
        <v>318.70999999999998</v>
      </c>
      <c r="BQ750" t="s">
        <v>522</v>
      </c>
      <c r="BR750" t="s">
        <v>82</v>
      </c>
      <c r="BS750" s="3">
        <v>45999</v>
      </c>
      <c r="BT750" s="4">
        <v>0.60069444444444442</v>
      </c>
      <c r="BU750" t="s">
        <v>523</v>
      </c>
      <c r="BV750" t="s">
        <v>84</v>
      </c>
      <c r="BY750">
        <v>98686</v>
      </c>
      <c r="CA750">
        <v>7502235592084</v>
      </c>
      <c r="CC750" t="s">
        <v>367</v>
      </c>
      <c r="CD750">
        <v>1900</v>
      </c>
      <c r="CE750" t="s">
        <v>86</v>
      </c>
      <c r="CF750" s="3">
        <v>46000</v>
      </c>
      <c r="CI750">
        <v>1</v>
      </c>
      <c r="CJ750">
        <v>1</v>
      </c>
      <c r="CK750">
        <v>43</v>
      </c>
      <c r="CL750" t="s">
        <v>87</v>
      </c>
    </row>
    <row r="751" spans="1:90" x14ac:dyDescent="0.3">
      <c r="A751" t="s">
        <v>72</v>
      </c>
      <c r="B751" t="s">
        <v>73</v>
      </c>
      <c r="C751" t="s">
        <v>74</v>
      </c>
      <c r="E751" t="str">
        <f>"080069701052"</f>
        <v>080069701052</v>
      </c>
      <c r="F751" s="3">
        <v>45996</v>
      </c>
      <c r="G751">
        <v>202609</v>
      </c>
      <c r="H751" t="s">
        <v>75</v>
      </c>
      <c r="I751" t="s">
        <v>76</v>
      </c>
      <c r="J751" t="s">
        <v>77</v>
      </c>
      <c r="K751" t="s">
        <v>78</v>
      </c>
      <c r="L751" t="s">
        <v>535</v>
      </c>
      <c r="M751" t="s">
        <v>535</v>
      </c>
      <c r="N751" t="s">
        <v>556</v>
      </c>
      <c r="O751" t="s">
        <v>89</v>
      </c>
      <c r="P751" t="str">
        <f>"4170072123                    "</f>
        <v xml:space="preserve">4170072123                    </v>
      </c>
      <c r="Q751">
        <v>0</v>
      </c>
      <c r="R751">
        <v>0</v>
      </c>
      <c r="S751">
        <v>0</v>
      </c>
      <c r="T751">
        <v>0</v>
      </c>
      <c r="U751">
        <v>0</v>
      </c>
      <c r="V751">
        <v>0</v>
      </c>
      <c r="W751">
        <v>0</v>
      </c>
      <c r="X751">
        <v>0</v>
      </c>
      <c r="Y751">
        <v>0</v>
      </c>
      <c r="Z751">
        <v>0</v>
      </c>
      <c r="AA751">
        <v>0</v>
      </c>
      <c r="AB751">
        <v>0</v>
      </c>
      <c r="AC751">
        <v>0</v>
      </c>
      <c r="AD751">
        <v>0</v>
      </c>
      <c r="AE751">
        <v>0</v>
      </c>
      <c r="AF751">
        <v>0</v>
      </c>
      <c r="AG751">
        <v>0</v>
      </c>
      <c r="AH751">
        <v>0</v>
      </c>
      <c r="AI751">
        <v>0</v>
      </c>
      <c r="AJ751">
        <v>0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49.45</v>
      </c>
      <c r="AR751">
        <v>0</v>
      </c>
      <c r="AS751">
        <v>0</v>
      </c>
      <c r="AT751">
        <v>0</v>
      </c>
      <c r="AU751">
        <v>0</v>
      </c>
      <c r="AV751">
        <v>0</v>
      </c>
      <c r="AW751">
        <v>0</v>
      </c>
      <c r="AX751">
        <v>0</v>
      </c>
      <c r="AY751">
        <v>0</v>
      </c>
      <c r="AZ751">
        <v>0</v>
      </c>
      <c r="BA751">
        <v>0</v>
      </c>
      <c r="BB751">
        <v>0</v>
      </c>
      <c r="BC751">
        <v>0</v>
      </c>
      <c r="BD751">
        <v>0</v>
      </c>
      <c r="BE751">
        <v>0</v>
      </c>
      <c r="BF751">
        <v>0</v>
      </c>
      <c r="BG751">
        <v>0</v>
      </c>
      <c r="BH751">
        <v>1</v>
      </c>
      <c r="BI751">
        <v>1</v>
      </c>
      <c r="BJ751">
        <v>0.2</v>
      </c>
      <c r="BK751">
        <v>1</v>
      </c>
      <c r="BL751">
        <v>147.38</v>
      </c>
      <c r="BM751">
        <v>22.11</v>
      </c>
      <c r="BN751">
        <v>169.49</v>
      </c>
      <c r="BO751">
        <v>169.49</v>
      </c>
      <c r="BQ751" t="s">
        <v>1238</v>
      </c>
      <c r="BR751" t="s">
        <v>82</v>
      </c>
      <c r="BS751" s="3">
        <v>45999</v>
      </c>
      <c r="BT751" s="4">
        <v>0.53541666666666665</v>
      </c>
      <c r="BU751" t="s">
        <v>558</v>
      </c>
      <c r="BV751" t="s">
        <v>84</v>
      </c>
      <c r="BY751">
        <v>1200</v>
      </c>
      <c r="CA751" t="s">
        <v>539</v>
      </c>
      <c r="CC751" t="s">
        <v>535</v>
      </c>
      <c r="CD751">
        <v>7646</v>
      </c>
      <c r="CE751" t="s">
        <v>134</v>
      </c>
      <c r="CF751" s="3">
        <v>46000</v>
      </c>
      <c r="CI751">
        <v>1</v>
      </c>
      <c r="CJ751">
        <v>1</v>
      </c>
      <c r="CK751">
        <v>23</v>
      </c>
      <c r="CL751" t="s">
        <v>87</v>
      </c>
    </row>
    <row r="752" spans="1:90" x14ac:dyDescent="0.3">
      <c r="A752" t="s">
        <v>72</v>
      </c>
      <c r="B752" t="s">
        <v>73</v>
      </c>
      <c r="C752" t="s">
        <v>74</v>
      </c>
      <c r="E752" t="str">
        <f>"080069701083"</f>
        <v>080069701083</v>
      </c>
      <c r="F752" s="3">
        <v>45996</v>
      </c>
      <c r="G752">
        <v>202609</v>
      </c>
      <c r="H752" t="s">
        <v>75</v>
      </c>
      <c r="I752" t="s">
        <v>76</v>
      </c>
      <c r="J752" t="s">
        <v>77</v>
      </c>
      <c r="K752" t="s">
        <v>78</v>
      </c>
      <c r="L752" t="s">
        <v>169</v>
      </c>
      <c r="M752" t="s">
        <v>170</v>
      </c>
      <c r="N752" t="s">
        <v>171</v>
      </c>
      <c r="O752" t="s">
        <v>89</v>
      </c>
      <c r="P752" t="str">
        <f>"4170072066                    "</f>
        <v xml:space="preserve">4170072066                    </v>
      </c>
      <c r="Q752">
        <v>0</v>
      </c>
      <c r="R752">
        <v>0</v>
      </c>
      <c r="S752">
        <v>0</v>
      </c>
      <c r="T752">
        <v>0</v>
      </c>
      <c r="U752">
        <v>0</v>
      </c>
      <c r="V752">
        <v>0</v>
      </c>
      <c r="W752">
        <v>0</v>
      </c>
      <c r="X752">
        <v>0</v>
      </c>
      <c r="Y752">
        <v>0</v>
      </c>
      <c r="Z752">
        <v>0</v>
      </c>
      <c r="AA752">
        <v>0</v>
      </c>
      <c r="AB752">
        <v>0</v>
      </c>
      <c r="AC752">
        <v>0</v>
      </c>
      <c r="AD752">
        <v>0</v>
      </c>
      <c r="AE752">
        <v>0</v>
      </c>
      <c r="AF752">
        <v>0</v>
      </c>
      <c r="AG752">
        <v>0</v>
      </c>
      <c r="AH752">
        <v>0</v>
      </c>
      <c r="AI752">
        <v>0</v>
      </c>
      <c r="AJ752">
        <v>0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49.45</v>
      </c>
      <c r="AR752">
        <v>0</v>
      </c>
      <c r="AS752">
        <v>0</v>
      </c>
      <c r="AT752">
        <v>0</v>
      </c>
      <c r="AU752">
        <v>0</v>
      </c>
      <c r="AV752">
        <v>0</v>
      </c>
      <c r="AW752">
        <v>0</v>
      </c>
      <c r="AX752">
        <v>0</v>
      </c>
      <c r="AY752">
        <v>0</v>
      </c>
      <c r="AZ752">
        <v>0</v>
      </c>
      <c r="BA752">
        <v>0</v>
      </c>
      <c r="BB752">
        <v>0</v>
      </c>
      <c r="BC752">
        <v>0</v>
      </c>
      <c r="BD752">
        <v>0</v>
      </c>
      <c r="BE752">
        <v>0</v>
      </c>
      <c r="BF752">
        <v>0</v>
      </c>
      <c r="BG752">
        <v>0</v>
      </c>
      <c r="BH752">
        <v>1</v>
      </c>
      <c r="BI752">
        <v>2</v>
      </c>
      <c r="BJ752">
        <v>1.1000000000000001</v>
      </c>
      <c r="BK752">
        <v>2</v>
      </c>
      <c r="BL752">
        <v>147.38</v>
      </c>
      <c r="BM752">
        <v>22.11</v>
      </c>
      <c r="BN752">
        <v>169.49</v>
      </c>
      <c r="BO752">
        <v>169.49</v>
      </c>
      <c r="BQ752" t="s">
        <v>172</v>
      </c>
      <c r="BR752" t="s">
        <v>82</v>
      </c>
      <c r="BS752" s="3">
        <v>45999</v>
      </c>
      <c r="BT752" s="4">
        <v>0.63888888888888884</v>
      </c>
      <c r="BU752" t="s">
        <v>1524</v>
      </c>
      <c r="BV752" t="s">
        <v>84</v>
      </c>
      <c r="BY752">
        <v>5510</v>
      </c>
      <c r="CA752">
        <v>8410105735081</v>
      </c>
      <c r="CC752" t="s">
        <v>170</v>
      </c>
      <c r="CD752">
        <v>1028</v>
      </c>
      <c r="CE752" t="s">
        <v>86</v>
      </c>
      <c r="CF752" s="3">
        <v>45999</v>
      </c>
      <c r="CI752">
        <v>1</v>
      </c>
      <c r="CJ752">
        <v>1</v>
      </c>
      <c r="CK752">
        <v>23</v>
      </c>
      <c r="CL752" t="s">
        <v>87</v>
      </c>
    </row>
    <row r="753" spans="1:90" x14ac:dyDescent="0.3">
      <c r="A753" t="s">
        <v>72</v>
      </c>
      <c r="B753" t="s">
        <v>73</v>
      </c>
      <c r="C753" t="s">
        <v>74</v>
      </c>
      <c r="E753" t="str">
        <f>"080069701119"</f>
        <v>080069701119</v>
      </c>
      <c r="F753" s="3">
        <v>45996</v>
      </c>
      <c r="G753">
        <v>202609</v>
      </c>
      <c r="H753" t="s">
        <v>75</v>
      </c>
      <c r="I753" t="s">
        <v>76</v>
      </c>
      <c r="J753" t="s">
        <v>77</v>
      </c>
      <c r="K753" t="s">
        <v>78</v>
      </c>
      <c r="L753" t="s">
        <v>535</v>
      </c>
      <c r="M753" t="s">
        <v>535</v>
      </c>
      <c r="N753" t="s">
        <v>556</v>
      </c>
      <c r="O753" t="s">
        <v>89</v>
      </c>
      <c r="P753" t="str">
        <f>"4170072116                    "</f>
        <v xml:space="preserve">4170072116                    </v>
      </c>
      <c r="Q753">
        <v>0</v>
      </c>
      <c r="R753">
        <v>0</v>
      </c>
      <c r="S753">
        <v>0</v>
      </c>
      <c r="T753">
        <v>0</v>
      </c>
      <c r="U753">
        <v>0</v>
      </c>
      <c r="V753">
        <v>0</v>
      </c>
      <c r="W753">
        <v>0</v>
      </c>
      <c r="X753">
        <v>0</v>
      </c>
      <c r="Y753">
        <v>0</v>
      </c>
      <c r="Z753">
        <v>0</v>
      </c>
      <c r="AA753">
        <v>0</v>
      </c>
      <c r="AB753">
        <v>0</v>
      </c>
      <c r="AC753">
        <v>0</v>
      </c>
      <c r="AD753">
        <v>0</v>
      </c>
      <c r="AE753">
        <v>0</v>
      </c>
      <c r="AF753">
        <v>0</v>
      </c>
      <c r="AG753">
        <v>0</v>
      </c>
      <c r="AH753">
        <v>0</v>
      </c>
      <c r="AI753">
        <v>0</v>
      </c>
      <c r="AJ753">
        <v>0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49.45</v>
      </c>
      <c r="AR753">
        <v>0</v>
      </c>
      <c r="AS753">
        <v>0</v>
      </c>
      <c r="AT753">
        <v>0</v>
      </c>
      <c r="AU753">
        <v>0</v>
      </c>
      <c r="AV753">
        <v>0</v>
      </c>
      <c r="AW753">
        <v>0</v>
      </c>
      <c r="AX753">
        <v>0</v>
      </c>
      <c r="AY753">
        <v>0</v>
      </c>
      <c r="AZ753">
        <v>0</v>
      </c>
      <c r="BA753">
        <v>0</v>
      </c>
      <c r="BB753">
        <v>0</v>
      </c>
      <c r="BC753">
        <v>0</v>
      </c>
      <c r="BD753">
        <v>0</v>
      </c>
      <c r="BE753">
        <v>0</v>
      </c>
      <c r="BF753">
        <v>0</v>
      </c>
      <c r="BG753">
        <v>0</v>
      </c>
      <c r="BH753">
        <v>1</v>
      </c>
      <c r="BI753">
        <v>1</v>
      </c>
      <c r="BJ753">
        <v>0.2</v>
      </c>
      <c r="BK753">
        <v>1</v>
      </c>
      <c r="BL753">
        <v>147.38</v>
      </c>
      <c r="BM753">
        <v>22.11</v>
      </c>
      <c r="BN753">
        <v>169.49</v>
      </c>
      <c r="BO753">
        <v>169.49</v>
      </c>
      <c r="BQ753" t="s">
        <v>1238</v>
      </c>
      <c r="BR753" t="s">
        <v>82</v>
      </c>
      <c r="BS753" s="3">
        <v>45999</v>
      </c>
      <c r="BT753" s="4">
        <v>0.53611111111111109</v>
      </c>
      <c r="BU753" t="s">
        <v>558</v>
      </c>
      <c r="BV753" t="s">
        <v>84</v>
      </c>
      <c r="BY753">
        <v>1200</v>
      </c>
      <c r="CA753" t="s">
        <v>539</v>
      </c>
      <c r="CC753" t="s">
        <v>535</v>
      </c>
      <c r="CD753">
        <v>7646</v>
      </c>
      <c r="CE753" t="s">
        <v>134</v>
      </c>
      <c r="CF753" s="3">
        <v>46000</v>
      </c>
      <c r="CI753">
        <v>1</v>
      </c>
      <c r="CJ753">
        <v>1</v>
      </c>
      <c r="CK753">
        <v>23</v>
      </c>
      <c r="CL753" t="s">
        <v>87</v>
      </c>
    </row>
    <row r="754" spans="1:90" x14ac:dyDescent="0.3">
      <c r="A754" t="s">
        <v>72</v>
      </c>
      <c r="B754" t="s">
        <v>73</v>
      </c>
      <c r="C754" t="s">
        <v>74</v>
      </c>
      <c r="E754" t="str">
        <f>"080069701187"</f>
        <v>080069701187</v>
      </c>
      <c r="F754" s="3">
        <v>45996</v>
      </c>
      <c r="G754">
        <v>202609</v>
      </c>
      <c r="H754" t="s">
        <v>75</v>
      </c>
      <c r="I754" t="s">
        <v>76</v>
      </c>
      <c r="J754" t="s">
        <v>77</v>
      </c>
      <c r="K754" t="s">
        <v>78</v>
      </c>
      <c r="L754" t="s">
        <v>156</v>
      </c>
      <c r="M754" t="s">
        <v>157</v>
      </c>
      <c r="N754" t="s">
        <v>1206</v>
      </c>
      <c r="O754" t="s">
        <v>89</v>
      </c>
      <c r="P754" t="str">
        <f>"4170072101                    "</f>
        <v xml:space="preserve">4170072101                    </v>
      </c>
      <c r="Q754">
        <v>0</v>
      </c>
      <c r="R754">
        <v>0</v>
      </c>
      <c r="S754">
        <v>0</v>
      </c>
      <c r="T754">
        <v>0</v>
      </c>
      <c r="U754">
        <v>0</v>
      </c>
      <c r="V754">
        <v>0</v>
      </c>
      <c r="W754">
        <v>0</v>
      </c>
      <c r="X754">
        <v>0</v>
      </c>
      <c r="Y754">
        <v>0</v>
      </c>
      <c r="Z754">
        <v>0</v>
      </c>
      <c r="AA754">
        <v>0</v>
      </c>
      <c r="AB754">
        <v>0</v>
      </c>
      <c r="AC754">
        <v>0</v>
      </c>
      <c r="AD754">
        <v>0</v>
      </c>
      <c r="AE754">
        <v>0</v>
      </c>
      <c r="AF754">
        <v>0</v>
      </c>
      <c r="AG754">
        <v>0</v>
      </c>
      <c r="AH754">
        <v>0</v>
      </c>
      <c r="AI754">
        <v>0</v>
      </c>
      <c r="AJ754">
        <v>0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25.52</v>
      </c>
      <c r="AR754">
        <v>0</v>
      </c>
      <c r="AS754">
        <v>0</v>
      </c>
      <c r="AT754">
        <v>0</v>
      </c>
      <c r="AU754">
        <v>0</v>
      </c>
      <c r="AV754">
        <v>0</v>
      </c>
      <c r="AW754">
        <v>0</v>
      </c>
      <c r="AX754">
        <v>0</v>
      </c>
      <c r="AY754">
        <v>0</v>
      </c>
      <c r="AZ754">
        <v>0</v>
      </c>
      <c r="BA754">
        <v>0</v>
      </c>
      <c r="BB754">
        <v>0</v>
      </c>
      <c r="BC754">
        <v>0</v>
      </c>
      <c r="BD754">
        <v>0</v>
      </c>
      <c r="BE754">
        <v>0</v>
      </c>
      <c r="BF754">
        <v>0</v>
      </c>
      <c r="BG754">
        <v>0</v>
      </c>
      <c r="BH754">
        <v>1</v>
      </c>
      <c r="BI754">
        <v>1</v>
      </c>
      <c r="BJ754">
        <v>0.2</v>
      </c>
      <c r="BK754">
        <v>1</v>
      </c>
      <c r="BL754">
        <v>76.06</v>
      </c>
      <c r="BM754">
        <v>11.41</v>
      </c>
      <c r="BN754">
        <v>87.47</v>
      </c>
      <c r="BO754">
        <v>87.47</v>
      </c>
      <c r="BQ754" t="s">
        <v>1207</v>
      </c>
      <c r="BR754" t="s">
        <v>82</v>
      </c>
      <c r="BS754" s="3">
        <v>45999</v>
      </c>
      <c r="BT754" s="4">
        <v>0.44722222222222224</v>
      </c>
      <c r="BU754" t="s">
        <v>1525</v>
      </c>
      <c r="BV754" t="s">
        <v>84</v>
      </c>
      <c r="BY754">
        <v>1200</v>
      </c>
      <c r="CA754" t="s">
        <v>1209</v>
      </c>
      <c r="CC754" t="s">
        <v>157</v>
      </c>
      <c r="CD754">
        <v>7945</v>
      </c>
      <c r="CE754" t="s">
        <v>134</v>
      </c>
      <c r="CF754" s="3">
        <v>46000</v>
      </c>
      <c r="CI754">
        <v>1</v>
      </c>
      <c r="CJ754">
        <v>1</v>
      </c>
      <c r="CK754">
        <v>21</v>
      </c>
      <c r="CL754" t="s">
        <v>87</v>
      </c>
    </row>
    <row r="755" spans="1:90" x14ac:dyDescent="0.3">
      <c r="A755" t="s">
        <v>72</v>
      </c>
      <c r="B755" t="s">
        <v>73</v>
      </c>
      <c r="C755" t="s">
        <v>74</v>
      </c>
      <c r="E755" t="str">
        <f>"080069701166"</f>
        <v>080069701166</v>
      </c>
      <c r="F755" s="3">
        <v>45996</v>
      </c>
      <c r="G755">
        <v>202609</v>
      </c>
      <c r="H755" t="s">
        <v>75</v>
      </c>
      <c r="I755" t="s">
        <v>76</v>
      </c>
      <c r="J755" t="s">
        <v>77</v>
      </c>
      <c r="K755" t="s">
        <v>78</v>
      </c>
      <c r="L755" t="s">
        <v>128</v>
      </c>
      <c r="M755" t="s">
        <v>129</v>
      </c>
      <c r="N755" t="s">
        <v>383</v>
      </c>
      <c r="O755" t="s">
        <v>80</v>
      </c>
      <c r="P755" t="str">
        <f>"4170072095                    "</f>
        <v xml:space="preserve">4170072095                    </v>
      </c>
      <c r="Q755">
        <v>0</v>
      </c>
      <c r="R755">
        <v>0</v>
      </c>
      <c r="S755">
        <v>0</v>
      </c>
      <c r="T755">
        <v>0</v>
      </c>
      <c r="U755">
        <v>0</v>
      </c>
      <c r="V755">
        <v>0</v>
      </c>
      <c r="W755">
        <v>0</v>
      </c>
      <c r="X755">
        <v>0</v>
      </c>
      <c r="Y755">
        <v>0</v>
      </c>
      <c r="Z755">
        <v>0</v>
      </c>
      <c r="AA755">
        <v>0</v>
      </c>
      <c r="AB755">
        <v>0</v>
      </c>
      <c r="AC755">
        <v>0</v>
      </c>
      <c r="AD755">
        <v>0</v>
      </c>
      <c r="AE755">
        <v>0</v>
      </c>
      <c r="AF755">
        <v>0</v>
      </c>
      <c r="AG755">
        <v>0</v>
      </c>
      <c r="AH755">
        <v>0</v>
      </c>
      <c r="AI755">
        <v>0</v>
      </c>
      <c r="AJ755">
        <v>0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110.56</v>
      </c>
      <c r="AR755">
        <v>0</v>
      </c>
      <c r="AS755">
        <v>0</v>
      </c>
      <c r="AT755">
        <v>0</v>
      </c>
      <c r="AU755">
        <v>0</v>
      </c>
      <c r="AV755">
        <v>0</v>
      </c>
      <c r="AW755">
        <v>0</v>
      </c>
      <c r="AX755">
        <v>0</v>
      </c>
      <c r="AY755">
        <v>0</v>
      </c>
      <c r="AZ755">
        <v>0</v>
      </c>
      <c r="BA755">
        <v>0</v>
      </c>
      <c r="BB755">
        <v>0</v>
      </c>
      <c r="BC755">
        <v>0</v>
      </c>
      <c r="BD755">
        <v>0</v>
      </c>
      <c r="BE755">
        <v>0</v>
      </c>
      <c r="BF755">
        <v>0</v>
      </c>
      <c r="BG755">
        <v>0</v>
      </c>
      <c r="BH755">
        <v>4</v>
      </c>
      <c r="BI755">
        <v>44.1</v>
      </c>
      <c r="BJ755">
        <v>17.100000000000001</v>
      </c>
      <c r="BK755">
        <v>45</v>
      </c>
      <c r="BL755">
        <v>335.6</v>
      </c>
      <c r="BM755">
        <v>50.34</v>
      </c>
      <c r="BN755">
        <v>385.94</v>
      </c>
      <c r="BO755">
        <v>385.94</v>
      </c>
      <c r="BQ755" t="s">
        <v>384</v>
      </c>
      <c r="BR755" t="s">
        <v>82</v>
      </c>
      <c r="BS755" s="3">
        <v>45999</v>
      </c>
      <c r="BT755" s="4">
        <v>0.47708333333333336</v>
      </c>
      <c r="BU755" t="s">
        <v>359</v>
      </c>
      <c r="BV755" t="s">
        <v>84</v>
      </c>
      <c r="BY755">
        <v>40321.65</v>
      </c>
      <c r="CA755" t="s">
        <v>188</v>
      </c>
      <c r="CC755" t="s">
        <v>129</v>
      </c>
      <c r="CD755">
        <v>5201</v>
      </c>
      <c r="CE755" t="s">
        <v>86</v>
      </c>
      <c r="CF755" s="3">
        <v>46000</v>
      </c>
      <c r="CI755">
        <v>3</v>
      </c>
      <c r="CJ755">
        <v>1</v>
      </c>
      <c r="CK755">
        <v>41</v>
      </c>
      <c r="CL755" t="s">
        <v>87</v>
      </c>
    </row>
    <row r="756" spans="1:90" x14ac:dyDescent="0.3">
      <c r="A756" t="s">
        <v>72</v>
      </c>
      <c r="B756" t="s">
        <v>73</v>
      </c>
      <c r="C756" t="s">
        <v>74</v>
      </c>
      <c r="E756" t="str">
        <f>"080069701219"</f>
        <v>080069701219</v>
      </c>
      <c r="F756" s="3">
        <v>45996</v>
      </c>
      <c r="G756">
        <v>202609</v>
      </c>
      <c r="H756" t="s">
        <v>75</v>
      </c>
      <c r="I756" t="s">
        <v>76</v>
      </c>
      <c r="J756" t="s">
        <v>77</v>
      </c>
      <c r="K756" t="s">
        <v>78</v>
      </c>
      <c r="L756" t="s">
        <v>156</v>
      </c>
      <c r="M756" t="s">
        <v>157</v>
      </c>
      <c r="N756" t="s">
        <v>749</v>
      </c>
      <c r="O756" t="s">
        <v>89</v>
      </c>
      <c r="P756" t="str">
        <f>"4170072091                    "</f>
        <v xml:space="preserve">4170072091                    </v>
      </c>
      <c r="Q756">
        <v>0</v>
      </c>
      <c r="R756">
        <v>0</v>
      </c>
      <c r="S756">
        <v>0</v>
      </c>
      <c r="T756">
        <v>0</v>
      </c>
      <c r="U756">
        <v>0</v>
      </c>
      <c r="V756">
        <v>0</v>
      </c>
      <c r="W756">
        <v>0</v>
      </c>
      <c r="X756">
        <v>0</v>
      </c>
      <c r="Y756">
        <v>0</v>
      </c>
      <c r="Z756">
        <v>0</v>
      </c>
      <c r="AA756">
        <v>0</v>
      </c>
      <c r="AB756">
        <v>0</v>
      </c>
      <c r="AC756">
        <v>0</v>
      </c>
      <c r="AD756">
        <v>0</v>
      </c>
      <c r="AE756">
        <v>0</v>
      </c>
      <c r="AF756">
        <v>0</v>
      </c>
      <c r="AG756">
        <v>0</v>
      </c>
      <c r="AH756">
        <v>0</v>
      </c>
      <c r="AI756">
        <v>0</v>
      </c>
      <c r="AJ756">
        <v>0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25.52</v>
      </c>
      <c r="AR756">
        <v>0</v>
      </c>
      <c r="AS756">
        <v>0</v>
      </c>
      <c r="AT756">
        <v>0</v>
      </c>
      <c r="AU756">
        <v>0</v>
      </c>
      <c r="AV756">
        <v>0</v>
      </c>
      <c r="AW756">
        <v>0</v>
      </c>
      <c r="AX756">
        <v>0</v>
      </c>
      <c r="AY756">
        <v>0</v>
      </c>
      <c r="AZ756">
        <v>0</v>
      </c>
      <c r="BA756">
        <v>0</v>
      </c>
      <c r="BB756">
        <v>0</v>
      </c>
      <c r="BC756">
        <v>0</v>
      </c>
      <c r="BD756">
        <v>0</v>
      </c>
      <c r="BE756">
        <v>0</v>
      </c>
      <c r="BF756">
        <v>0</v>
      </c>
      <c r="BG756">
        <v>0</v>
      </c>
      <c r="BH756">
        <v>1</v>
      </c>
      <c r="BI756">
        <v>1</v>
      </c>
      <c r="BJ756">
        <v>0.2</v>
      </c>
      <c r="BK756">
        <v>1</v>
      </c>
      <c r="BL756">
        <v>76.06</v>
      </c>
      <c r="BM756">
        <v>11.41</v>
      </c>
      <c r="BN756">
        <v>87.47</v>
      </c>
      <c r="BO756">
        <v>87.47</v>
      </c>
      <c r="BQ756" t="s">
        <v>750</v>
      </c>
      <c r="BR756" t="s">
        <v>82</v>
      </c>
      <c r="BS756" s="3">
        <v>45999</v>
      </c>
      <c r="BT756" s="4">
        <v>0.38055555555555554</v>
      </c>
      <c r="BU756" t="s">
        <v>1526</v>
      </c>
      <c r="BV756" t="s">
        <v>84</v>
      </c>
      <c r="BY756">
        <v>1200</v>
      </c>
      <c r="CA756" t="s">
        <v>264</v>
      </c>
      <c r="CC756" t="s">
        <v>157</v>
      </c>
      <c r="CD756">
        <v>8001</v>
      </c>
      <c r="CE756" t="s">
        <v>134</v>
      </c>
      <c r="CF756" s="3">
        <v>46000</v>
      </c>
      <c r="CI756">
        <v>1</v>
      </c>
      <c r="CJ756">
        <v>1</v>
      </c>
      <c r="CK756">
        <v>21</v>
      </c>
      <c r="CL756" t="s">
        <v>87</v>
      </c>
    </row>
    <row r="757" spans="1:90" x14ac:dyDescent="0.3">
      <c r="A757" t="s">
        <v>72</v>
      </c>
      <c r="B757" t="s">
        <v>73</v>
      </c>
      <c r="C757" t="s">
        <v>74</v>
      </c>
      <c r="E757" t="str">
        <f>"080069701271"</f>
        <v>080069701271</v>
      </c>
      <c r="F757" s="3">
        <v>45996</v>
      </c>
      <c r="G757">
        <v>202609</v>
      </c>
      <c r="H757" t="s">
        <v>75</v>
      </c>
      <c r="I757" t="s">
        <v>76</v>
      </c>
      <c r="J757" t="s">
        <v>77</v>
      </c>
      <c r="K757" t="s">
        <v>78</v>
      </c>
      <c r="L757" t="s">
        <v>75</v>
      </c>
      <c r="M757" t="s">
        <v>76</v>
      </c>
      <c r="N757" t="s">
        <v>1164</v>
      </c>
      <c r="O757" t="s">
        <v>89</v>
      </c>
      <c r="P757" t="str">
        <f>"4170072058                    "</f>
        <v xml:space="preserve">4170072058                    </v>
      </c>
      <c r="Q757">
        <v>0</v>
      </c>
      <c r="R757">
        <v>0</v>
      </c>
      <c r="S757">
        <v>0</v>
      </c>
      <c r="T757">
        <v>0</v>
      </c>
      <c r="U757">
        <v>0</v>
      </c>
      <c r="V757">
        <v>0</v>
      </c>
      <c r="W757">
        <v>0</v>
      </c>
      <c r="X757">
        <v>0</v>
      </c>
      <c r="Y757">
        <v>0</v>
      </c>
      <c r="Z757">
        <v>0</v>
      </c>
      <c r="AA757">
        <v>0</v>
      </c>
      <c r="AB757">
        <v>0</v>
      </c>
      <c r="AC757">
        <v>0</v>
      </c>
      <c r="AD757">
        <v>0</v>
      </c>
      <c r="AE757">
        <v>0</v>
      </c>
      <c r="AF757">
        <v>0</v>
      </c>
      <c r="AG757">
        <v>0</v>
      </c>
      <c r="AH757">
        <v>0</v>
      </c>
      <c r="AI757">
        <v>0</v>
      </c>
      <c r="AJ757">
        <v>0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19.940000000000001</v>
      </c>
      <c r="AR757">
        <v>0</v>
      </c>
      <c r="AS757">
        <v>0</v>
      </c>
      <c r="AT757">
        <v>0</v>
      </c>
      <c r="AU757">
        <v>0</v>
      </c>
      <c r="AV757">
        <v>0</v>
      </c>
      <c r="AW757">
        <v>0</v>
      </c>
      <c r="AX757">
        <v>0</v>
      </c>
      <c r="AY757">
        <v>0</v>
      </c>
      <c r="AZ757">
        <v>0</v>
      </c>
      <c r="BA757">
        <v>0</v>
      </c>
      <c r="BB757">
        <v>0</v>
      </c>
      <c r="BC757">
        <v>0</v>
      </c>
      <c r="BD757">
        <v>0</v>
      </c>
      <c r="BE757">
        <v>0</v>
      </c>
      <c r="BF757">
        <v>0</v>
      </c>
      <c r="BG757">
        <v>0</v>
      </c>
      <c r="BH757">
        <v>1</v>
      </c>
      <c r="BI757">
        <v>1</v>
      </c>
      <c r="BJ757">
        <v>0.2</v>
      </c>
      <c r="BK757">
        <v>1</v>
      </c>
      <c r="BL757">
        <v>59.42</v>
      </c>
      <c r="BM757">
        <v>8.91</v>
      </c>
      <c r="BN757">
        <v>68.33</v>
      </c>
      <c r="BO757">
        <v>68.33</v>
      </c>
      <c r="BQ757" t="s">
        <v>1165</v>
      </c>
      <c r="BR757" t="s">
        <v>82</v>
      </c>
      <c r="BS757" s="3">
        <v>45999</v>
      </c>
      <c r="BT757" s="4">
        <v>0.2986111111111111</v>
      </c>
      <c r="BU757" t="s">
        <v>1288</v>
      </c>
      <c r="BV757" t="s">
        <v>84</v>
      </c>
      <c r="BY757">
        <v>1200</v>
      </c>
      <c r="CA757" t="s">
        <v>92</v>
      </c>
      <c r="CC757" t="s">
        <v>76</v>
      </c>
      <c r="CD757">
        <v>1600</v>
      </c>
      <c r="CE757" t="s">
        <v>134</v>
      </c>
      <c r="CF757" s="3">
        <v>45999</v>
      </c>
      <c r="CI757">
        <v>1</v>
      </c>
      <c r="CJ757">
        <v>1</v>
      </c>
      <c r="CK757">
        <v>22</v>
      </c>
      <c r="CL757" t="s">
        <v>87</v>
      </c>
    </row>
    <row r="758" spans="1:90" x14ac:dyDescent="0.3">
      <c r="A758" t="s">
        <v>72</v>
      </c>
      <c r="B758" t="s">
        <v>73</v>
      </c>
      <c r="C758" t="s">
        <v>74</v>
      </c>
      <c r="E758" t="str">
        <f>"080069701328"</f>
        <v>080069701328</v>
      </c>
      <c r="F758" s="3">
        <v>45996</v>
      </c>
      <c r="G758">
        <v>202609</v>
      </c>
      <c r="H758" t="s">
        <v>75</v>
      </c>
      <c r="I758" t="s">
        <v>76</v>
      </c>
      <c r="J758" t="s">
        <v>77</v>
      </c>
      <c r="K758" t="s">
        <v>78</v>
      </c>
      <c r="L758" t="s">
        <v>1041</v>
      </c>
      <c r="M758" t="s">
        <v>1042</v>
      </c>
      <c r="N758" t="s">
        <v>1043</v>
      </c>
      <c r="O758" t="s">
        <v>89</v>
      </c>
      <c r="P758" t="str">
        <f>"4170072118                    "</f>
        <v xml:space="preserve">4170072118                    </v>
      </c>
      <c r="Q758">
        <v>0</v>
      </c>
      <c r="R758">
        <v>0</v>
      </c>
      <c r="S758">
        <v>0</v>
      </c>
      <c r="T758">
        <v>0</v>
      </c>
      <c r="U758">
        <v>0</v>
      </c>
      <c r="V758">
        <v>0</v>
      </c>
      <c r="W758">
        <v>0</v>
      </c>
      <c r="X758">
        <v>0</v>
      </c>
      <c r="Y758">
        <v>0</v>
      </c>
      <c r="Z758">
        <v>0</v>
      </c>
      <c r="AA758">
        <v>0</v>
      </c>
      <c r="AB758">
        <v>0</v>
      </c>
      <c r="AC758">
        <v>0</v>
      </c>
      <c r="AD758">
        <v>0</v>
      </c>
      <c r="AE758">
        <v>0</v>
      </c>
      <c r="AF758">
        <v>0</v>
      </c>
      <c r="AG758">
        <v>0</v>
      </c>
      <c r="AH758">
        <v>0</v>
      </c>
      <c r="AI758">
        <v>0</v>
      </c>
      <c r="AJ758">
        <v>0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49.45</v>
      </c>
      <c r="AR758">
        <v>0</v>
      </c>
      <c r="AS758">
        <v>0</v>
      </c>
      <c r="AT758">
        <v>0</v>
      </c>
      <c r="AU758">
        <v>0</v>
      </c>
      <c r="AV758">
        <v>0</v>
      </c>
      <c r="AW758">
        <v>0</v>
      </c>
      <c r="AX758">
        <v>0</v>
      </c>
      <c r="AY758">
        <v>0</v>
      </c>
      <c r="AZ758">
        <v>0</v>
      </c>
      <c r="BA758">
        <v>0</v>
      </c>
      <c r="BB758">
        <v>0</v>
      </c>
      <c r="BC758">
        <v>0</v>
      </c>
      <c r="BD758">
        <v>0</v>
      </c>
      <c r="BE758">
        <v>0</v>
      </c>
      <c r="BF758">
        <v>0</v>
      </c>
      <c r="BG758">
        <v>0</v>
      </c>
      <c r="BH758">
        <v>1</v>
      </c>
      <c r="BI758">
        <v>1</v>
      </c>
      <c r="BJ758">
        <v>0.2</v>
      </c>
      <c r="BK758">
        <v>1</v>
      </c>
      <c r="BL758">
        <v>147.38</v>
      </c>
      <c r="BM758">
        <v>22.11</v>
      </c>
      <c r="BN758">
        <v>169.49</v>
      </c>
      <c r="BO758">
        <v>169.49</v>
      </c>
      <c r="BQ758" t="s">
        <v>1044</v>
      </c>
      <c r="BR758" t="s">
        <v>82</v>
      </c>
      <c r="BS758" s="3">
        <v>45999</v>
      </c>
      <c r="BT758" s="4">
        <v>0.4236111111111111</v>
      </c>
      <c r="BU758" t="s">
        <v>1045</v>
      </c>
      <c r="BV758" t="s">
        <v>84</v>
      </c>
      <c r="BY758">
        <v>1200</v>
      </c>
      <c r="CA758" t="s">
        <v>1046</v>
      </c>
      <c r="CC758" t="s">
        <v>1042</v>
      </c>
      <c r="CD758">
        <v>5257</v>
      </c>
      <c r="CE758" t="s">
        <v>134</v>
      </c>
      <c r="CF758" s="3">
        <v>46000</v>
      </c>
      <c r="CI758">
        <v>1</v>
      </c>
      <c r="CJ758">
        <v>1</v>
      </c>
      <c r="CK758">
        <v>23</v>
      </c>
      <c r="CL758" t="s">
        <v>87</v>
      </c>
    </row>
    <row r="759" spans="1:90" x14ac:dyDescent="0.3">
      <c r="A759" t="s">
        <v>72</v>
      </c>
      <c r="B759" t="s">
        <v>73</v>
      </c>
      <c r="C759" t="s">
        <v>74</v>
      </c>
      <c r="E759" t="str">
        <f>"080069701370"</f>
        <v>080069701370</v>
      </c>
      <c r="F759" s="3">
        <v>45996</v>
      </c>
      <c r="G759">
        <v>202609</v>
      </c>
      <c r="H759" t="s">
        <v>75</v>
      </c>
      <c r="I759" t="s">
        <v>76</v>
      </c>
      <c r="J759" t="s">
        <v>77</v>
      </c>
      <c r="K759" t="s">
        <v>78</v>
      </c>
      <c r="L759" t="s">
        <v>302</v>
      </c>
      <c r="M759" t="s">
        <v>303</v>
      </c>
      <c r="N759" t="s">
        <v>887</v>
      </c>
      <c r="O759" t="s">
        <v>89</v>
      </c>
      <c r="P759" t="str">
        <f>"4170072193                    "</f>
        <v xml:space="preserve">4170072193                    </v>
      </c>
      <c r="Q759">
        <v>0</v>
      </c>
      <c r="R759">
        <v>0</v>
      </c>
      <c r="S759">
        <v>0</v>
      </c>
      <c r="T759">
        <v>0</v>
      </c>
      <c r="U759">
        <v>0</v>
      </c>
      <c r="V759">
        <v>0</v>
      </c>
      <c r="W759">
        <v>0</v>
      </c>
      <c r="X759">
        <v>0</v>
      </c>
      <c r="Y759">
        <v>0</v>
      </c>
      <c r="Z759">
        <v>0</v>
      </c>
      <c r="AA759">
        <v>0</v>
      </c>
      <c r="AB759">
        <v>0</v>
      </c>
      <c r="AC759">
        <v>0</v>
      </c>
      <c r="AD759">
        <v>0</v>
      </c>
      <c r="AE759">
        <v>0</v>
      </c>
      <c r="AF759">
        <v>0</v>
      </c>
      <c r="AG759">
        <v>0</v>
      </c>
      <c r="AH759">
        <v>0</v>
      </c>
      <c r="AI759">
        <v>0</v>
      </c>
      <c r="AJ759">
        <v>0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25.52</v>
      </c>
      <c r="AR759">
        <v>0</v>
      </c>
      <c r="AS759">
        <v>0</v>
      </c>
      <c r="AT759">
        <v>0</v>
      </c>
      <c r="AU759">
        <v>0</v>
      </c>
      <c r="AV759">
        <v>0</v>
      </c>
      <c r="AW759">
        <v>0</v>
      </c>
      <c r="AX759">
        <v>0</v>
      </c>
      <c r="AY759">
        <v>0</v>
      </c>
      <c r="AZ759">
        <v>0</v>
      </c>
      <c r="BA759">
        <v>0</v>
      </c>
      <c r="BB759">
        <v>0</v>
      </c>
      <c r="BC759">
        <v>0</v>
      </c>
      <c r="BD759">
        <v>0</v>
      </c>
      <c r="BE759">
        <v>0</v>
      </c>
      <c r="BF759">
        <v>0</v>
      </c>
      <c r="BG759">
        <v>0</v>
      </c>
      <c r="BH759">
        <v>1</v>
      </c>
      <c r="BI759">
        <v>1</v>
      </c>
      <c r="BJ759">
        <v>0.2</v>
      </c>
      <c r="BK759">
        <v>1</v>
      </c>
      <c r="BL759">
        <v>76.06</v>
      </c>
      <c r="BM759">
        <v>11.41</v>
      </c>
      <c r="BN759">
        <v>87.47</v>
      </c>
      <c r="BO759">
        <v>87.47</v>
      </c>
      <c r="BQ759" t="s">
        <v>888</v>
      </c>
      <c r="BR759" t="s">
        <v>82</v>
      </c>
      <c r="BS759" s="3">
        <v>45999</v>
      </c>
      <c r="BT759" s="4">
        <v>0.38819444444444445</v>
      </c>
      <c r="BU759" t="s">
        <v>927</v>
      </c>
      <c r="BV759" t="s">
        <v>84</v>
      </c>
      <c r="BY759">
        <v>1200</v>
      </c>
      <c r="CA759">
        <v>8303236124087</v>
      </c>
      <c r="CC759" t="s">
        <v>303</v>
      </c>
      <c r="CD759" s="5" t="s">
        <v>307</v>
      </c>
      <c r="CE759" t="s">
        <v>134</v>
      </c>
      <c r="CF759" s="3">
        <v>45999</v>
      </c>
      <c r="CI759">
        <v>1</v>
      </c>
      <c r="CJ759">
        <v>1</v>
      </c>
      <c r="CK759">
        <v>21</v>
      </c>
      <c r="CL759" t="s">
        <v>87</v>
      </c>
    </row>
    <row r="760" spans="1:90" x14ac:dyDescent="0.3">
      <c r="A760" t="s">
        <v>72</v>
      </c>
      <c r="B760" t="s">
        <v>73</v>
      </c>
      <c r="C760" t="s">
        <v>74</v>
      </c>
      <c r="E760" t="str">
        <f>"080069701665"</f>
        <v>080069701665</v>
      </c>
      <c r="F760" s="3">
        <v>45996</v>
      </c>
      <c r="G760">
        <v>202609</v>
      </c>
      <c r="H760" t="s">
        <v>75</v>
      </c>
      <c r="I760" t="s">
        <v>76</v>
      </c>
      <c r="J760" t="s">
        <v>77</v>
      </c>
      <c r="K760" t="s">
        <v>78</v>
      </c>
      <c r="L760" t="s">
        <v>272</v>
      </c>
      <c r="M760" t="s">
        <v>273</v>
      </c>
      <c r="N760" t="s">
        <v>1527</v>
      </c>
      <c r="O760" t="s">
        <v>80</v>
      </c>
      <c r="P760" t="str">
        <f>"4170072194                    "</f>
        <v xml:space="preserve">4170072194                    </v>
      </c>
      <c r="Q760">
        <v>0</v>
      </c>
      <c r="R760">
        <v>0</v>
      </c>
      <c r="S760">
        <v>0</v>
      </c>
      <c r="T760">
        <v>0</v>
      </c>
      <c r="U760">
        <v>0</v>
      </c>
      <c r="V760">
        <v>0</v>
      </c>
      <c r="W760">
        <v>0</v>
      </c>
      <c r="X760">
        <v>0</v>
      </c>
      <c r="Y760">
        <v>0</v>
      </c>
      <c r="Z760">
        <v>0</v>
      </c>
      <c r="AA760">
        <v>0</v>
      </c>
      <c r="AB760">
        <v>0</v>
      </c>
      <c r="AC760">
        <v>0</v>
      </c>
      <c r="AD760">
        <v>0</v>
      </c>
      <c r="AE760">
        <v>0</v>
      </c>
      <c r="AF760">
        <v>0</v>
      </c>
      <c r="AG760">
        <v>0</v>
      </c>
      <c r="AH760">
        <v>0</v>
      </c>
      <c r="AI760">
        <v>0</v>
      </c>
      <c r="AJ760">
        <v>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53.44</v>
      </c>
      <c r="AR760">
        <v>0</v>
      </c>
      <c r="AS760">
        <v>0</v>
      </c>
      <c r="AT760">
        <v>0</v>
      </c>
      <c r="AU760">
        <v>0</v>
      </c>
      <c r="AV760">
        <v>0</v>
      </c>
      <c r="AW760">
        <v>0</v>
      </c>
      <c r="AX760">
        <v>0</v>
      </c>
      <c r="AY760">
        <v>0</v>
      </c>
      <c r="AZ760">
        <v>0</v>
      </c>
      <c r="BA760">
        <v>0</v>
      </c>
      <c r="BB760">
        <v>0</v>
      </c>
      <c r="BC760">
        <v>0</v>
      </c>
      <c r="BD760">
        <v>0</v>
      </c>
      <c r="BE760">
        <v>0</v>
      </c>
      <c r="BF760">
        <v>0</v>
      </c>
      <c r="BG760">
        <v>0</v>
      </c>
      <c r="BH760">
        <v>1</v>
      </c>
      <c r="BI760">
        <v>7.4</v>
      </c>
      <c r="BJ760">
        <v>16.7</v>
      </c>
      <c r="BK760">
        <v>17</v>
      </c>
      <c r="BL760">
        <v>165.36</v>
      </c>
      <c r="BM760">
        <v>24.8</v>
      </c>
      <c r="BN760">
        <v>190.16</v>
      </c>
      <c r="BO760">
        <v>190.16</v>
      </c>
      <c r="BQ760" t="s">
        <v>1528</v>
      </c>
      <c r="BR760" t="s">
        <v>82</v>
      </c>
      <c r="BS760" s="3">
        <v>45999</v>
      </c>
      <c r="BT760" s="4">
        <v>0.43888888888888888</v>
      </c>
      <c r="BU760" t="s">
        <v>1529</v>
      </c>
      <c r="BV760" t="s">
        <v>84</v>
      </c>
      <c r="BY760">
        <v>83430.75</v>
      </c>
      <c r="CA760" t="s">
        <v>277</v>
      </c>
      <c r="CC760" t="s">
        <v>273</v>
      </c>
      <c r="CD760">
        <v>6220</v>
      </c>
      <c r="CE760" t="s">
        <v>86</v>
      </c>
      <c r="CF760" s="3">
        <v>45999</v>
      </c>
      <c r="CI760">
        <v>3</v>
      </c>
      <c r="CJ760">
        <v>1</v>
      </c>
      <c r="CK760">
        <v>41</v>
      </c>
      <c r="CL760" t="s">
        <v>87</v>
      </c>
    </row>
    <row r="761" spans="1:90" x14ac:dyDescent="0.3">
      <c r="A761" t="s">
        <v>72</v>
      </c>
      <c r="B761" t="s">
        <v>73</v>
      </c>
      <c r="C761" t="s">
        <v>74</v>
      </c>
      <c r="E761" t="str">
        <f>"080069701679"</f>
        <v>080069701679</v>
      </c>
      <c r="F761" s="3">
        <v>45996</v>
      </c>
      <c r="G761">
        <v>202609</v>
      </c>
      <c r="H761" t="s">
        <v>75</v>
      </c>
      <c r="I761" t="s">
        <v>76</v>
      </c>
      <c r="J761" t="s">
        <v>77</v>
      </c>
      <c r="K761" t="s">
        <v>78</v>
      </c>
      <c r="L761" t="s">
        <v>535</v>
      </c>
      <c r="M761" t="s">
        <v>535</v>
      </c>
      <c r="N761" t="s">
        <v>1030</v>
      </c>
      <c r="O761" t="s">
        <v>89</v>
      </c>
      <c r="P761" t="str">
        <f>"4170072137                    "</f>
        <v xml:space="preserve">4170072137                    </v>
      </c>
      <c r="Q761">
        <v>0</v>
      </c>
      <c r="R761">
        <v>0</v>
      </c>
      <c r="S761">
        <v>0</v>
      </c>
      <c r="T761">
        <v>0</v>
      </c>
      <c r="U761">
        <v>0</v>
      </c>
      <c r="V761">
        <v>0</v>
      </c>
      <c r="W761">
        <v>0</v>
      </c>
      <c r="X761">
        <v>0</v>
      </c>
      <c r="Y761">
        <v>0</v>
      </c>
      <c r="Z761">
        <v>0</v>
      </c>
      <c r="AA761">
        <v>0</v>
      </c>
      <c r="AB761">
        <v>0</v>
      </c>
      <c r="AC761">
        <v>0</v>
      </c>
      <c r="AD761">
        <v>0</v>
      </c>
      <c r="AE761">
        <v>0</v>
      </c>
      <c r="AF761">
        <v>0</v>
      </c>
      <c r="AG761">
        <v>0</v>
      </c>
      <c r="AH761">
        <v>0</v>
      </c>
      <c r="AI761">
        <v>0</v>
      </c>
      <c r="AJ761">
        <v>0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49.45</v>
      </c>
      <c r="AR761">
        <v>0</v>
      </c>
      <c r="AS761">
        <v>0</v>
      </c>
      <c r="AT761">
        <v>0</v>
      </c>
      <c r="AU761">
        <v>0</v>
      </c>
      <c r="AV761">
        <v>0</v>
      </c>
      <c r="AW761">
        <v>0</v>
      </c>
      <c r="AX761">
        <v>0</v>
      </c>
      <c r="AY761">
        <v>0</v>
      </c>
      <c r="AZ761">
        <v>0</v>
      </c>
      <c r="BA761">
        <v>0</v>
      </c>
      <c r="BB761">
        <v>0</v>
      </c>
      <c r="BC761">
        <v>0</v>
      </c>
      <c r="BD761">
        <v>0</v>
      </c>
      <c r="BE761">
        <v>0</v>
      </c>
      <c r="BF761">
        <v>0</v>
      </c>
      <c r="BG761">
        <v>0</v>
      </c>
      <c r="BH761">
        <v>1</v>
      </c>
      <c r="BI761">
        <v>1</v>
      </c>
      <c r="BJ761">
        <v>0.2</v>
      </c>
      <c r="BK761">
        <v>1</v>
      </c>
      <c r="BL761">
        <v>147.38</v>
      </c>
      <c r="BM761">
        <v>22.11</v>
      </c>
      <c r="BN761">
        <v>169.49</v>
      </c>
      <c r="BO761">
        <v>169.49</v>
      </c>
      <c r="BQ761" t="s">
        <v>1031</v>
      </c>
      <c r="BR761" t="s">
        <v>82</v>
      </c>
      <c r="BS761" s="3">
        <v>45999</v>
      </c>
      <c r="BT761" s="4">
        <v>0.53749999999999998</v>
      </c>
      <c r="BU761" t="s">
        <v>1530</v>
      </c>
      <c r="BV761" t="s">
        <v>84</v>
      </c>
      <c r="BY761">
        <v>1200</v>
      </c>
      <c r="CA761" t="s">
        <v>539</v>
      </c>
      <c r="CC761" t="s">
        <v>535</v>
      </c>
      <c r="CD761">
        <v>7646</v>
      </c>
      <c r="CE761" t="s">
        <v>134</v>
      </c>
      <c r="CF761" s="3">
        <v>46000</v>
      </c>
      <c r="CI761">
        <v>1</v>
      </c>
      <c r="CJ761">
        <v>1</v>
      </c>
      <c r="CK761">
        <v>23</v>
      </c>
      <c r="CL761" t="s">
        <v>87</v>
      </c>
    </row>
    <row r="762" spans="1:90" x14ac:dyDescent="0.3">
      <c r="A762" t="s">
        <v>72</v>
      </c>
      <c r="B762" t="s">
        <v>73</v>
      </c>
      <c r="C762" t="s">
        <v>74</v>
      </c>
      <c r="E762" t="str">
        <f>"080069701685"</f>
        <v>080069701685</v>
      </c>
      <c r="F762" s="3">
        <v>45996</v>
      </c>
      <c r="G762">
        <v>202609</v>
      </c>
      <c r="H762" t="s">
        <v>75</v>
      </c>
      <c r="I762" t="s">
        <v>76</v>
      </c>
      <c r="J762" t="s">
        <v>77</v>
      </c>
      <c r="K762" t="s">
        <v>78</v>
      </c>
      <c r="L762" t="s">
        <v>535</v>
      </c>
      <c r="M762" t="s">
        <v>535</v>
      </c>
      <c r="N762" t="s">
        <v>924</v>
      </c>
      <c r="O762" t="s">
        <v>89</v>
      </c>
      <c r="P762" t="str">
        <f>"4170072120                    "</f>
        <v xml:space="preserve">4170072120                    </v>
      </c>
      <c r="Q762">
        <v>0</v>
      </c>
      <c r="R762">
        <v>0</v>
      </c>
      <c r="S762">
        <v>0</v>
      </c>
      <c r="T762">
        <v>0</v>
      </c>
      <c r="U762">
        <v>0</v>
      </c>
      <c r="V762">
        <v>0</v>
      </c>
      <c r="W762">
        <v>0</v>
      </c>
      <c r="X762">
        <v>0</v>
      </c>
      <c r="Y762">
        <v>0</v>
      </c>
      <c r="Z762">
        <v>0</v>
      </c>
      <c r="AA762">
        <v>0</v>
      </c>
      <c r="AB762">
        <v>0</v>
      </c>
      <c r="AC762">
        <v>0</v>
      </c>
      <c r="AD762">
        <v>0</v>
      </c>
      <c r="AE762">
        <v>0</v>
      </c>
      <c r="AF762">
        <v>0</v>
      </c>
      <c r="AG762">
        <v>0</v>
      </c>
      <c r="AH762">
        <v>0</v>
      </c>
      <c r="AI762">
        <v>0</v>
      </c>
      <c r="AJ762">
        <v>0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49.45</v>
      </c>
      <c r="AR762">
        <v>0</v>
      </c>
      <c r="AS762">
        <v>0</v>
      </c>
      <c r="AT762">
        <v>0</v>
      </c>
      <c r="AU762">
        <v>0</v>
      </c>
      <c r="AV762">
        <v>0</v>
      </c>
      <c r="AW762">
        <v>0</v>
      </c>
      <c r="AX762">
        <v>0</v>
      </c>
      <c r="AY762">
        <v>0</v>
      </c>
      <c r="AZ762">
        <v>0</v>
      </c>
      <c r="BA762">
        <v>0</v>
      </c>
      <c r="BB762">
        <v>0</v>
      </c>
      <c r="BC762">
        <v>0</v>
      </c>
      <c r="BD762">
        <v>0</v>
      </c>
      <c r="BE762">
        <v>0</v>
      </c>
      <c r="BF762">
        <v>0</v>
      </c>
      <c r="BG762">
        <v>0</v>
      </c>
      <c r="BH762">
        <v>1</v>
      </c>
      <c r="BI762">
        <v>2</v>
      </c>
      <c r="BJ762">
        <v>1.4</v>
      </c>
      <c r="BK762">
        <v>2</v>
      </c>
      <c r="BL762">
        <v>147.38</v>
      </c>
      <c r="BM762">
        <v>22.11</v>
      </c>
      <c r="BN762">
        <v>169.49</v>
      </c>
      <c r="BO762">
        <v>169.49</v>
      </c>
      <c r="BQ762" t="s">
        <v>925</v>
      </c>
      <c r="BR762" t="s">
        <v>82</v>
      </c>
      <c r="BS762" s="3">
        <v>45999</v>
      </c>
      <c r="BT762" s="4">
        <v>0.54166666666666663</v>
      </c>
      <c r="BU762" t="s">
        <v>1382</v>
      </c>
      <c r="BV762" t="s">
        <v>84</v>
      </c>
      <c r="BY762">
        <v>7000</v>
      </c>
      <c r="CA762" t="s">
        <v>539</v>
      </c>
      <c r="CC762" t="s">
        <v>535</v>
      </c>
      <c r="CD762">
        <v>7654</v>
      </c>
      <c r="CE762" t="s">
        <v>86</v>
      </c>
      <c r="CF762" s="3">
        <v>46000</v>
      </c>
      <c r="CI762">
        <v>1</v>
      </c>
      <c r="CJ762">
        <v>1</v>
      </c>
      <c r="CK762">
        <v>23</v>
      </c>
      <c r="CL762" t="s">
        <v>87</v>
      </c>
    </row>
    <row r="763" spans="1:90" x14ac:dyDescent="0.3">
      <c r="A763" t="s">
        <v>72</v>
      </c>
      <c r="B763" t="s">
        <v>73</v>
      </c>
      <c r="C763" t="s">
        <v>74</v>
      </c>
      <c r="E763" t="str">
        <f>"080069701720"</f>
        <v>080069701720</v>
      </c>
      <c r="F763" s="3">
        <v>45996</v>
      </c>
      <c r="G763">
        <v>202609</v>
      </c>
      <c r="H763" t="s">
        <v>75</v>
      </c>
      <c r="I763" t="s">
        <v>76</v>
      </c>
      <c r="J763" t="s">
        <v>77</v>
      </c>
      <c r="K763" t="s">
        <v>78</v>
      </c>
      <c r="L763" t="s">
        <v>156</v>
      </c>
      <c r="M763" t="s">
        <v>157</v>
      </c>
      <c r="N763" t="s">
        <v>1531</v>
      </c>
      <c r="O763" t="s">
        <v>89</v>
      </c>
      <c r="P763" t="str">
        <f>"4170072274                    "</f>
        <v xml:space="preserve">4170072274                    </v>
      </c>
      <c r="Q763">
        <v>0</v>
      </c>
      <c r="R763">
        <v>0</v>
      </c>
      <c r="S763">
        <v>0</v>
      </c>
      <c r="T763">
        <v>0</v>
      </c>
      <c r="U763">
        <v>0</v>
      </c>
      <c r="V763">
        <v>0</v>
      </c>
      <c r="W763">
        <v>0</v>
      </c>
      <c r="X763">
        <v>0</v>
      </c>
      <c r="Y763">
        <v>0</v>
      </c>
      <c r="Z763">
        <v>0</v>
      </c>
      <c r="AA763">
        <v>0</v>
      </c>
      <c r="AB763">
        <v>0</v>
      </c>
      <c r="AC763">
        <v>0</v>
      </c>
      <c r="AD763">
        <v>0</v>
      </c>
      <c r="AE763">
        <v>0</v>
      </c>
      <c r="AF763">
        <v>0</v>
      </c>
      <c r="AG763">
        <v>0</v>
      </c>
      <c r="AH763">
        <v>0</v>
      </c>
      <c r="AI763">
        <v>0</v>
      </c>
      <c r="AJ763">
        <v>0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25.52</v>
      </c>
      <c r="AR763">
        <v>0</v>
      </c>
      <c r="AS763">
        <v>0</v>
      </c>
      <c r="AT763">
        <v>0</v>
      </c>
      <c r="AU763">
        <v>0</v>
      </c>
      <c r="AV763">
        <v>0</v>
      </c>
      <c r="AW763">
        <v>0</v>
      </c>
      <c r="AX763">
        <v>0</v>
      </c>
      <c r="AY763">
        <v>0</v>
      </c>
      <c r="AZ763">
        <v>0</v>
      </c>
      <c r="BA763">
        <v>0</v>
      </c>
      <c r="BB763">
        <v>0</v>
      </c>
      <c r="BC763">
        <v>0</v>
      </c>
      <c r="BD763">
        <v>0</v>
      </c>
      <c r="BE763">
        <v>0</v>
      </c>
      <c r="BF763">
        <v>0</v>
      </c>
      <c r="BG763">
        <v>0</v>
      </c>
      <c r="BH763">
        <v>1</v>
      </c>
      <c r="BI763">
        <v>1</v>
      </c>
      <c r="BJ763">
        <v>0.2</v>
      </c>
      <c r="BK763">
        <v>1</v>
      </c>
      <c r="BL763">
        <v>76.06</v>
      </c>
      <c r="BM763">
        <v>11.41</v>
      </c>
      <c r="BN763">
        <v>87.47</v>
      </c>
      <c r="BO763">
        <v>87.47</v>
      </c>
      <c r="BQ763" t="s">
        <v>1532</v>
      </c>
      <c r="BR763" t="s">
        <v>82</v>
      </c>
      <c r="BS763" s="3">
        <v>45999</v>
      </c>
      <c r="BT763" s="4">
        <v>0.47222222222222221</v>
      </c>
      <c r="BU763" t="s">
        <v>1533</v>
      </c>
      <c r="BV763" t="s">
        <v>87</v>
      </c>
      <c r="BW763" t="s">
        <v>153</v>
      </c>
      <c r="BX763" t="s">
        <v>1387</v>
      </c>
      <c r="BY763">
        <v>1200</v>
      </c>
      <c r="CC763" t="s">
        <v>157</v>
      </c>
      <c r="CD763">
        <v>7441</v>
      </c>
      <c r="CE763" t="s">
        <v>134</v>
      </c>
      <c r="CF763" s="3">
        <v>46000</v>
      </c>
      <c r="CI763">
        <v>1</v>
      </c>
      <c r="CJ763">
        <v>1</v>
      </c>
      <c r="CK763">
        <v>21</v>
      </c>
      <c r="CL763" t="s">
        <v>87</v>
      </c>
    </row>
    <row r="764" spans="1:90" x14ac:dyDescent="0.3">
      <c r="A764" t="s">
        <v>72</v>
      </c>
      <c r="B764" t="s">
        <v>73</v>
      </c>
      <c r="C764" t="s">
        <v>74</v>
      </c>
      <c r="E764" t="str">
        <f>"080069701742"</f>
        <v>080069701742</v>
      </c>
      <c r="F764" s="3">
        <v>45996</v>
      </c>
      <c r="G764">
        <v>202609</v>
      </c>
      <c r="H764" t="s">
        <v>75</v>
      </c>
      <c r="I764" t="s">
        <v>76</v>
      </c>
      <c r="J764" t="s">
        <v>77</v>
      </c>
      <c r="K764" t="s">
        <v>78</v>
      </c>
      <c r="L764" t="s">
        <v>100</v>
      </c>
      <c r="M764" t="s">
        <v>101</v>
      </c>
      <c r="N764" t="s">
        <v>102</v>
      </c>
      <c r="O764" t="s">
        <v>89</v>
      </c>
      <c r="P764" t="str">
        <f>"4170072208                    "</f>
        <v xml:space="preserve">4170072208                    </v>
      </c>
      <c r="Q764">
        <v>0</v>
      </c>
      <c r="R764">
        <v>0</v>
      </c>
      <c r="S764">
        <v>0</v>
      </c>
      <c r="T764">
        <v>0</v>
      </c>
      <c r="U764">
        <v>0</v>
      </c>
      <c r="V764">
        <v>0</v>
      </c>
      <c r="W764">
        <v>0</v>
      </c>
      <c r="X764">
        <v>0</v>
      </c>
      <c r="Y764">
        <v>0</v>
      </c>
      <c r="Z764">
        <v>0</v>
      </c>
      <c r="AA764">
        <v>0</v>
      </c>
      <c r="AB764">
        <v>0</v>
      </c>
      <c r="AC764">
        <v>0</v>
      </c>
      <c r="AD764">
        <v>0</v>
      </c>
      <c r="AE764">
        <v>0</v>
      </c>
      <c r="AF764">
        <v>0</v>
      </c>
      <c r="AG764">
        <v>0</v>
      </c>
      <c r="AH764">
        <v>0</v>
      </c>
      <c r="AI764">
        <v>0</v>
      </c>
      <c r="AJ764">
        <v>0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25.52</v>
      </c>
      <c r="AR764">
        <v>0</v>
      </c>
      <c r="AS764">
        <v>0</v>
      </c>
      <c r="AT764">
        <v>0</v>
      </c>
      <c r="AU764">
        <v>0</v>
      </c>
      <c r="AV764">
        <v>0</v>
      </c>
      <c r="AW764">
        <v>0</v>
      </c>
      <c r="AX764">
        <v>0</v>
      </c>
      <c r="AY764">
        <v>0</v>
      </c>
      <c r="AZ764">
        <v>0</v>
      </c>
      <c r="BA764">
        <v>0</v>
      </c>
      <c r="BB764">
        <v>0</v>
      </c>
      <c r="BC764">
        <v>0</v>
      </c>
      <c r="BD764">
        <v>0</v>
      </c>
      <c r="BE764">
        <v>0</v>
      </c>
      <c r="BF764">
        <v>0</v>
      </c>
      <c r="BG764">
        <v>0</v>
      </c>
      <c r="BH764">
        <v>1</v>
      </c>
      <c r="BI764">
        <v>1</v>
      </c>
      <c r="BJ764">
        <v>0.2</v>
      </c>
      <c r="BK764">
        <v>1</v>
      </c>
      <c r="BL764">
        <v>76.06</v>
      </c>
      <c r="BM764">
        <v>11.41</v>
      </c>
      <c r="BN764">
        <v>87.47</v>
      </c>
      <c r="BO764">
        <v>87.47</v>
      </c>
      <c r="BQ764" t="s">
        <v>103</v>
      </c>
      <c r="BR764" t="s">
        <v>82</v>
      </c>
      <c r="BS764" s="3">
        <v>45999</v>
      </c>
      <c r="BT764" s="4">
        <v>0.33333333333333331</v>
      </c>
      <c r="BU764" t="s">
        <v>1534</v>
      </c>
      <c r="BV764" t="s">
        <v>84</v>
      </c>
      <c r="BY764">
        <v>1200</v>
      </c>
      <c r="CA764" t="s">
        <v>107</v>
      </c>
      <c r="CC764" t="s">
        <v>101</v>
      </c>
      <c r="CD764">
        <v>4000</v>
      </c>
      <c r="CE764" t="s">
        <v>134</v>
      </c>
      <c r="CF764" s="3">
        <v>46000</v>
      </c>
      <c r="CI764">
        <v>1</v>
      </c>
      <c r="CJ764">
        <v>1</v>
      </c>
      <c r="CK764">
        <v>21</v>
      </c>
      <c r="CL764" t="s">
        <v>87</v>
      </c>
    </row>
    <row r="765" spans="1:90" x14ac:dyDescent="0.3">
      <c r="A765" t="s">
        <v>72</v>
      </c>
      <c r="B765" t="s">
        <v>73</v>
      </c>
      <c r="C765" t="s">
        <v>74</v>
      </c>
      <c r="E765" t="str">
        <f>"080069701790"</f>
        <v>080069701790</v>
      </c>
      <c r="F765" s="3">
        <v>45996</v>
      </c>
      <c r="G765">
        <v>202609</v>
      </c>
      <c r="H765" t="s">
        <v>75</v>
      </c>
      <c r="I765" t="s">
        <v>76</v>
      </c>
      <c r="J765" t="s">
        <v>77</v>
      </c>
      <c r="K765" t="s">
        <v>78</v>
      </c>
      <c r="L765" t="s">
        <v>692</v>
      </c>
      <c r="M765" t="s">
        <v>693</v>
      </c>
      <c r="N765" t="s">
        <v>694</v>
      </c>
      <c r="O765" t="s">
        <v>89</v>
      </c>
      <c r="P765" t="str">
        <f>"4170072235                    "</f>
        <v xml:space="preserve">4170072235                    </v>
      </c>
      <c r="Q765">
        <v>0</v>
      </c>
      <c r="R765">
        <v>0</v>
      </c>
      <c r="S765">
        <v>0</v>
      </c>
      <c r="T765">
        <v>0</v>
      </c>
      <c r="U765">
        <v>0</v>
      </c>
      <c r="V765">
        <v>0</v>
      </c>
      <c r="W765">
        <v>0</v>
      </c>
      <c r="X765">
        <v>0</v>
      </c>
      <c r="Y765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>
        <v>0</v>
      </c>
      <c r="AG765">
        <v>0</v>
      </c>
      <c r="AH765">
        <v>0</v>
      </c>
      <c r="AI765">
        <v>0</v>
      </c>
      <c r="AJ765">
        <v>0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35.9</v>
      </c>
      <c r="AR765">
        <v>0</v>
      </c>
      <c r="AS765">
        <v>0</v>
      </c>
      <c r="AT765">
        <v>0</v>
      </c>
      <c r="AU765">
        <v>0</v>
      </c>
      <c r="AV765">
        <v>0</v>
      </c>
      <c r="AW765">
        <v>0</v>
      </c>
      <c r="AX765">
        <v>0</v>
      </c>
      <c r="AY765">
        <v>0</v>
      </c>
      <c r="AZ765">
        <v>0</v>
      </c>
      <c r="BA765">
        <v>0</v>
      </c>
      <c r="BB765">
        <v>0</v>
      </c>
      <c r="BC765">
        <v>0</v>
      </c>
      <c r="BD765">
        <v>0</v>
      </c>
      <c r="BE765">
        <v>0</v>
      </c>
      <c r="BF765">
        <v>0</v>
      </c>
      <c r="BG765">
        <v>0</v>
      </c>
      <c r="BH765">
        <v>1</v>
      </c>
      <c r="BI765">
        <v>2</v>
      </c>
      <c r="BJ765">
        <v>1.1000000000000001</v>
      </c>
      <c r="BK765">
        <v>2</v>
      </c>
      <c r="BL765">
        <v>106.98</v>
      </c>
      <c r="BM765">
        <v>16.05</v>
      </c>
      <c r="BN765">
        <v>123.03</v>
      </c>
      <c r="BO765">
        <v>123.03</v>
      </c>
      <c r="BQ765" t="s">
        <v>695</v>
      </c>
      <c r="BR765" t="s">
        <v>82</v>
      </c>
      <c r="BS765" s="3">
        <v>45999</v>
      </c>
      <c r="BT765" s="4">
        <v>0.58611111111111114</v>
      </c>
      <c r="BU765" t="s">
        <v>1261</v>
      </c>
      <c r="BV765" t="s">
        <v>84</v>
      </c>
      <c r="BY765">
        <v>5510</v>
      </c>
      <c r="CC765" t="s">
        <v>693</v>
      </c>
      <c r="CD765">
        <v>1759</v>
      </c>
      <c r="CE765" t="s">
        <v>86</v>
      </c>
      <c r="CF765" s="3">
        <v>46001</v>
      </c>
      <c r="CI765">
        <v>1</v>
      </c>
      <c r="CJ765">
        <v>1</v>
      </c>
      <c r="CK765">
        <v>24</v>
      </c>
      <c r="CL765" t="s">
        <v>87</v>
      </c>
    </row>
    <row r="766" spans="1:90" x14ac:dyDescent="0.3">
      <c r="A766" t="s">
        <v>72</v>
      </c>
      <c r="B766" t="s">
        <v>73</v>
      </c>
      <c r="C766" t="s">
        <v>74</v>
      </c>
      <c r="E766" t="str">
        <f>"080069701793"</f>
        <v>080069701793</v>
      </c>
      <c r="F766" s="3">
        <v>45996</v>
      </c>
      <c r="G766">
        <v>202609</v>
      </c>
      <c r="H766" t="s">
        <v>75</v>
      </c>
      <c r="I766" t="s">
        <v>76</v>
      </c>
      <c r="J766" t="s">
        <v>77</v>
      </c>
      <c r="K766" t="s">
        <v>78</v>
      </c>
      <c r="L766" t="s">
        <v>302</v>
      </c>
      <c r="M766" t="s">
        <v>303</v>
      </c>
      <c r="N766" t="s">
        <v>887</v>
      </c>
      <c r="O766" t="s">
        <v>89</v>
      </c>
      <c r="P766" t="str">
        <f>"4170072191                    "</f>
        <v xml:space="preserve">4170072191                    </v>
      </c>
      <c r="Q766">
        <v>0</v>
      </c>
      <c r="R766">
        <v>0</v>
      </c>
      <c r="S766">
        <v>0</v>
      </c>
      <c r="T766">
        <v>0</v>
      </c>
      <c r="U766">
        <v>0</v>
      </c>
      <c r="V766">
        <v>0</v>
      </c>
      <c r="W766">
        <v>0</v>
      </c>
      <c r="X766">
        <v>0</v>
      </c>
      <c r="Y766">
        <v>0</v>
      </c>
      <c r="Z766">
        <v>0</v>
      </c>
      <c r="AA766">
        <v>0</v>
      </c>
      <c r="AB766">
        <v>0</v>
      </c>
      <c r="AC766">
        <v>0</v>
      </c>
      <c r="AD766">
        <v>0</v>
      </c>
      <c r="AE766">
        <v>0</v>
      </c>
      <c r="AF766">
        <v>0</v>
      </c>
      <c r="AG766">
        <v>0</v>
      </c>
      <c r="AH766">
        <v>0</v>
      </c>
      <c r="AI766">
        <v>0</v>
      </c>
      <c r="AJ766">
        <v>0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25.52</v>
      </c>
      <c r="AR766">
        <v>0</v>
      </c>
      <c r="AS766">
        <v>0</v>
      </c>
      <c r="AT766">
        <v>0</v>
      </c>
      <c r="AU766">
        <v>0</v>
      </c>
      <c r="AV766">
        <v>0</v>
      </c>
      <c r="AW766">
        <v>0</v>
      </c>
      <c r="AX766">
        <v>0</v>
      </c>
      <c r="AY766">
        <v>0</v>
      </c>
      <c r="AZ766">
        <v>0</v>
      </c>
      <c r="BA766">
        <v>0</v>
      </c>
      <c r="BB766">
        <v>0</v>
      </c>
      <c r="BC766">
        <v>0</v>
      </c>
      <c r="BD766">
        <v>0</v>
      </c>
      <c r="BE766">
        <v>0</v>
      </c>
      <c r="BF766">
        <v>0</v>
      </c>
      <c r="BG766">
        <v>0</v>
      </c>
      <c r="BH766">
        <v>1</v>
      </c>
      <c r="BI766">
        <v>1</v>
      </c>
      <c r="BJ766">
        <v>0.2</v>
      </c>
      <c r="BK766">
        <v>1</v>
      </c>
      <c r="BL766">
        <v>76.06</v>
      </c>
      <c r="BM766">
        <v>11.41</v>
      </c>
      <c r="BN766">
        <v>87.47</v>
      </c>
      <c r="BO766">
        <v>87.47</v>
      </c>
      <c r="BQ766" t="s">
        <v>888</v>
      </c>
      <c r="BR766" t="s">
        <v>82</v>
      </c>
      <c r="BS766" s="3">
        <v>45999</v>
      </c>
      <c r="BT766" s="4">
        <v>0.38750000000000001</v>
      </c>
      <c r="BU766" t="s">
        <v>927</v>
      </c>
      <c r="BV766" t="s">
        <v>84</v>
      </c>
      <c r="BY766">
        <v>1200</v>
      </c>
      <c r="CA766">
        <v>8303236124087</v>
      </c>
      <c r="CC766" t="s">
        <v>303</v>
      </c>
      <c r="CD766" s="5" t="s">
        <v>307</v>
      </c>
      <c r="CE766" t="s">
        <v>134</v>
      </c>
      <c r="CF766" s="3">
        <v>45999</v>
      </c>
      <c r="CI766">
        <v>1</v>
      </c>
      <c r="CJ766">
        <v>1</v>
      </c>
      <c r="CK766">
        <v>21</v>
      </c>
      <c r="CL766" t="s">
        <v>87</v>
      </c>
    </row>
    <row r="767" spans="1:90" x14ac:dyDescent="0.3">
      <c r="A767" t="s">
        <v>72</v>
      </c>
      <c r="B767" t="s">
        <v>73</v>
      </c>
      <c r="C767" t="s">
        <v>74</v>
      </c>
      <c r="E767" t="str">
        <f>"080069701856"</f>
        <v>080069701856</v>
      </c>
      <c r="F767" s="3">
        <v>45996</v>
      </c>
      <c r="G767">
        <v>202609</v>
      </c>
      <c r="H767" t="s">
        <v>75</v>
      </c>
      <c r="I767" t="s">
        <v>76</v>
      </c>
      <c r="J767" t="s">
        <v>77</v>
      </c>
      <c r="K767" t="s">
        <v>78</v>
      </c>
      <c r="L767" t="s">
        <v>208</v>
      </c>
      <c r="M767" t="s">
        <v>209</v>
      </c>
      <c r="N767" t="s">
        <v>1535</v>
      </c>
      <c r="O767" t="s">
        <v>89</v>
      </c>
      <c r="P767" t="str">
        <f>"4170072099                    "</f>
        <v xml:space="preserve">4170072099                    </v>
      </c>
      <c r="Q767">
        <v>0</v>
      </c>
      <c r="R767">
        <v>0</v>
      </c>
      <c r="S767">
        <v>0</v>
      </c>
      <c r="T767">
        <v>0</v>
      </c>
      <c r="U767">
        <v>0</v>
      </c>
      <c r="V767">
        <v>0</v>
      </c>
      <c r="W767">
        <v>0</v>
      </c>
      <c r="X767">
        <v>0</v>
      </c>
      <c r="Y767">
        <v>0</v>
      </c>
      <c r="Z767">
        <v>0</v>
      </c>
      <c r="AA767">
        <v>0</v>
      </c>
      <c r="AB767">
        <v>0</v>
      </c>
      <c r="AC767">
        <v>0</v>
      </c>
      <c r="AD767">
        <v>0</v>
      </c>
      <c r="AE767">
        <v>0</v>
      </c>
      <c r="AF767">
        <v>0</v>
      </c>
      <c r="AG767">
        <v>0</v>
      </c>
      <c r="AH767">
        <v>0</v>
      </c>
      <c r="AI767">
        <v>0</v>
      </c>
      <c r="AJ767">
        <v>0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0</v>
      </c>
      <c r="AQ767">
        <v>25.52</v>
      </c>
      <c r="AR767">
        <v>0</v>
      </c>
      <c r="AS767">
        <v>0</v>
      </c>
      <c r="AT767">
        <v>0</v>
      </c>
      <c r="AU767">
        <v>0</v>
      </c>
      <c r="AV767">
        <v>0</v>
      </c>
      <c r="AW767">
        <v>0</v>
      </c>
      <c r="AX767">
        <v>0</v>
      </c>
      <c r="AY767">
        <v>0</v>
      </c>
      <c r="AZ767">
        <v>0</v>
      </c>
      <c r="BA767">
        <v>0</v>
      </c>
      <c r="BB767">
        <v>0</v>
      </c>
      <c r="BC767">
        <v>0</v>
      </c>
      <c r="BD767">
        <v>0</v>
      </c>
      <c r="BE767">
        <v>0</v>
      </c>
      <c r="BF767">
        <v>0</v>
      </c>
      <c r="BG767">
        <v>0</v>
      </c>
      <c r="BH767">
        <v>1</v>
      </c>
      <c r="BI767">
        <v>1</v>
      </c>
      <c r="BJ767">
        <v>0.2</v>
      </c>
      <c r="BK767">
        <v>1</v>
      </c>
      <c r="BL767">
        <v>76.06</v>
      </c>
      <c r="BM767">
        <v>11.41</v>
      </c>
      <c r="BN767">
        <v>87.47</v>
      </c>
      <c r="BO767">
        <v>87.47</v>
      </c>
      <c r="BQ767" t="s">
        <v>1536</v>
      </c>
      <c r="BR767" t="s">
        <v>82</v>
      </c>
      <c r="BS767" s="3">
        <v>45999</v>
      </c>
      <c r="BT767" s="4">
        <v>0.55347222222222225</v>
      </c>
      <c r="BU767" t="s">
        <v>1537</v>
      </c>
      <c r="BV767" t="s">
        <v>84</v>
      </c>
      <c r="BY767">
        <v>1200</v>
      </c>
      <c r="CA767">
        <v>8203305410088</v>
      </c>
      <c r="CC767" t="s">
        <v>209</v>
      </c>
      <c r="CD767" s="5" t="s">
        <v>213</v>
      </c>
      <c r="CE767" t="s">
        <v>134</v>
      </c>
      <c r="CF767" s="3">
        <v>46000</v>
      </c>
      <c r="CI767">
        <v>1</v>
      </c>
      <c r="CJ767">
        <v>1</v>
      </c>
      <c r="CK767">
        <v>21</v>
      </c>
      <c r="CL767" t="s">
        <v>87</v>
      </c>
    </row>
    <row r="768" spans="1:90" x14ac:dyDescent="0.3">
      <c r="A768" t="s">
        <v>72</v>
      </c>
      <c r="B768" t="s">
        <v>73</v>
      </c>
      <c r="C768" t="s">
        <v>74</v>
      </c>
      <c r="E768" t="str">
        <f>"080069701876"</f>
        <v>080069701876</v>
      </c>
      <c r="F768" s="3">
        <v>45996</v>
      </c>
      <c r="G768">
        <v>202609</v>
      </c>
      <c r="H768" t="s">
        <v>75</v>
      </c>
      <c r="I768" t="s">
        <v>76</v>
      </c>
      <c r="J768" t="s">
        <v>77</v>
      </c>
      <c r="K768" t="s">
        <v>78</v>
      </c>
      <c r="L768" t="s">
        <v>141</v>
      </c>
      <c r="M768" t="s">
        <v>142</v>
      </c>
      <c r="N768" t="s">
        <v>738</v>
      </c>
      <c r="O768" t="s">
        <v>89</v>
      </c>
      <c r="P768" t="str">
        <f>"4170072119                    "</f>
        <v xml:space="preserve">4170072119                    </v>
      </c>
      <c r="Q768">
        <v>0</v>
      </c>
      <c r="R768">
        <v>0</v>
      </c>
      <c r="S768">
        <v>0</v>
      </c>
      <c r="T768">
        <v>0</v>
      </c>
      <c r="U768">
        <v>0</v>
      </c>
      <c r="V768">
        <v>0</v>
      </c>
      <c r="W768">
        <v>0</v>
      </c>
      <c r="X768">
        <v>0</v>
      </c>
      <c r="Y768">
        <v>0</v>
      </c>
      <c r="Z768">
        <v>0</v>
      </c>
      <c r="AA768">
        <v>0</v>
      </c>
      <c r="AB768">
        <v>0</v>
      </c>
      <c r="AC768">
        <v>0</v>
      </c>
      <c r="AD768">
        <v>0</v>
      </c>
      <c r="AE768">
        <v>0</v>
      </c>
      <c r="AF768">
        <v>0</v>
      </c>
      <c r="AG768">
        <v>0</v>
      </c>
      <c r="AH768">
        <v>0</v>
      </c>
      <c r="AI768">
        <v>0</v>
      </c>
      <c r="AJ768">
        <v>0</v>
      </c>
      <c r="AK768">
        <v>0</v>
      </c>
      <c r="AL768">
        <v>0</v>
      </c>
      <c r="AM768">
        <v>0</v>
      </c>
      <c r="AN768">
        <v>0</v>
      </c>
      <c r="AO768">
        <v>0</v>
      </c>
      <c r="AP768">
        <v>0</v>
      </c>
      <c r="AQ768">
        <v>25.52</v>
      </c>
      <c r="AR768">
        <v>0</v>
      </c>
      <c r="AS768">
        <v>0</v>
      </c>
      <c r="AT768">
        <v>0</v>
      </c>
      <c r="AU768">
        <v>0</v>
      </c>
      <c r="AV768">
        <v>0</v>
      </c>
      <c r="AW768">
        <v>0</v>
      </c>
      <c r="AX768">
        <v>0</v>
      </c>
      <c r="AY768">
        <v>0</v>
      </c>
      <c r="AZ768">
        <v>0</v>
      </c>
      <c r="BA768">
        <v>0</v>
      </c>
      <c r="BB768">
        <v>0</v>
      </c>
      <c r="BC768">
        <v>0</v>
      </c>
      <c r="BD768">
        <v>0</v>
      </c>
      <c r="BE768">
        <v>0</v>
      </c>
      <c r="BF768">
        <v>0</v>
      </c>
      <c r="BG768">
        <v>0</v>
      </c>
      <c r="BH768">
        <v>1</v>
      </c>
      <c r="BI768">
        <v>1</v>
      </c>
      <c r="BJ768">
        <v>0.2</v>
      </c>
      <c r="BK768">
        <v>1</v>
      </c>
      <c r="BL768">
        <v>76.06</v>
      </c>
      <c r="BM768">
        <v>11.41</v>
      </c>
      <c r="BN768">
        <v>87.47</v>
      </c>
      <c r="BO768">
        <v>87.47</v>
      </c>
      <c r="BQ768" t="s">
        <v>739</v>
      </c>
      <c r="BR768" t="s">
        <v>82</v>
      </c>
      <c r="BS768" s="3">
        <v>45999</v>
      </c>
      <c r="BT768" s="4">
        <v>0.39513888888888887</v>
      </c>
      <c r="BU768" t="s">
        <v>968</v>
      </c>
      <c r="BV768" t="s">
        <v>84</v>
      </c>
      <c r="BY768">
        <v>1200</v>
      </c>
      <c r="CA768" t="s">
        <v>277</v>
      </c>
      <c r="CC768" t="s">
        <v>142</v>
      </c>
      <c r="CD768">
        <v>6001</v>
      </c>
      <c r="CE768" t="s">
        <v>134</v>
      </c>
      <c r="CF768" s="3">
        <v>45999</v>
      </c>
      <c r="CI768">
        <v>1</v>
      </c>
      <c r="CJ768">
        <v>1</v>
      </c>
      <c r="CK768">
        <v>21</v>
      </c>
      <c r="CL768" t="s">
        <v>87</v>
      </c>
    </row>
    <row r="769" spans="1:90" x14ac:dyDescent="0.3">
      <c r="A769" t="s">
        <v>72</v>
      </c>
      <c r="B769" t="s">
        <v>73</v>
      </c>
      <c r="C769" t="s">
        <v>74</v>
      </c>
      <c r="E769" t="str">
        <f>"080069701905"</f>
        <v>080069701905</v>
      </c>
      <c r="F769" s="3">
        <v>45996</v>
      </c>
      <c r="G769">
        <v>202609</v>
      </c>
      <c r="H769" t="s">
        <v>75</v>
      </c>
      <c r="I769" t="s">
        <v>76</v>
      </c>
      <c r="J769" t="s">
        <v>77</v>
      </c>
      <c r="K769" t="s">
        <v>78</v>
      </c>
      <c r="L769" t="s">
        <v>128</v>
      </c>
      <c r="M769" t="s">
        <v>129</v>
      </c>
      <c r="N769" t="s">
        <v>383</v>
      </c>
      <c r="O769" t="s">
        <v>89</v>
      </c>
      <c r="P769" t="str">
        <f>"4170072113                    "</f>
        <v xml:space="preserve">4170072113                    </v>
      </c>
      <c r="Q769">
        <v>0</v>
      </c>
      <c r="R769">
        <v>0</v>
      </c>
      <c r="S769">
        <v>0</v>
      </c>
      <c r="T769">
        <v>0</v>
      </c>
      <c r="U769">
        <v>0</v>
      </c>
      <c r="V769">
        <v>0</v>
      </c>
      <c r="W769">
        <v>0</v>
      </c>
      <c r="X769">
        <v>0</v>
      </c>
      <c r="Y769">
        <v>0</v>
      </c>
      <c r="Z769">
        <v>0</v>
      </c>
      <c r="AA769">
        <v>0</v>
      </c>
      <c r="AB769">
        <v>0</v>
      </c>
      <c r="AC769">
        <v>0</v>
      </c>
      <c r="AD769">
        <v>0</v>
      </c>
      <c r="AE769">
        <v>0</v>
      </c>
      <c r="AF769">
        <v>0</v>
      </c>
      <c r="AG769">
        <v>0</v>
      </c>
      <c r="AH769">
        <v>0</v>
      </c>
      <c r="AI769">
        <v>0</v>
      </c>
      <c r="AJ769">
        <v>0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0</v>
      </c>
      <c r="AQ769">
        <v>25.52</v>
      </c>
      <c r="AR769">
        <v>0</v>
      </c>
      <c r="AS769">
        <v>0</v>
      </c>
      <c r="AT769">
        <v>0</v>
      </c>
      <c r="AU769">
        <v>0</v>
      </c>
      <c r="AV769">
        <v>0</v>
      </c>
      <c r="AW769">
        <v>0</v>
      </c>
      <c r="AX769">
        <v>0</v>
      </c>
      <c r="AY769">
        <v>0</v>
      </c>
      <c r="AZ769">
        <v>0</v>
      </c>
      <c r="BA769">
        <v>0</v>
      </c>
      <c r="BB769">
        <v>0</v>
      </c>
      <c r="BC769">
        <v>0</v>
      </c>
      <c r="BD769">
        <v>0</v>
      </c>
      <c r="BE769">
        <v>0</v>
      </c>
      <c r="BF769">
        <v>0</v>
      </c>
      <c r="BG769">
        <v>0</v>
      </c>
      <c r="BH769">
        <v>1</v>
      </c>
      <c r="BI769">
        <v>1</v>
      </c>
      <c r="BJ769">
        <v>0.2</v>
      </c>
      <c r="BK769">
        <v>1</v>
      </c>
      <c r="BL769">
        <v>76.06</v>
      </c>
      <c r="BM769">
        <v>11.41</v>
      </c>
      <c r="BN769">
        <v>87.47</v>
      </c>
      <c r="BO769">
        <v>87.47</v>
      </c>
      <c r="BQ769" t="s">
        <v>384</v>
      </c>
      <c r="BR769" t="s">
        <v>82</v>
      </c>
      <c r="BS769" s="3">
        <v>45999</v>
      </c>
      <c r="BT769" s="4">
        <v>0.47708333333333336</v>
      </c>
      <c r="BU769" t="s">
        <v>359</v>
      </c>
      <c r="BV769" t="s">
        <v>87</v>
      </c>
      <c r="BW769" t="s">
        <v>186</v>
      </c>
      <c r="BX769" t="s">
        <v>187</v>
      </c>
      <c r="BY769">
        <v>1200</v>
      </c>
      <c r="CA769" t="s">
        <v>188</v>
      </c>
      <c r="CC769" t="s">
        <v>129</v>
      </c>
      <c r="CD769">
        <v>5201</v>
      </c>
      <c r="CE769" t="s">
        <v>134</v>
      </c>
      <c r="CF769" s="3">
        <v>46000</v>
      </c>
      <c r="CI769">
        <v>1</v>
      </c>
      <c r="CJ769">
        <v>1</v>
      </c>
      <c r="CK769">
        <v>21</v>
      </c>
      <c r="CL769" t="s">
        <v>87</v>
      </c>
    </row>
    <row r="770" spans="1:90" x14ac:dyDescent="0.3">
      <c r="A770" t="s">
        <v>72</v>
      </c>
      <c r="B770" t="s">
        <v>73</v>
      </c>
      <c r="C770" t="s">
        <v>74</v>
      </c>
      <c r="E770" t="str">
        <f>"080069702010"</f>
        <v>080069702010</v>
      </c>
      <c r="F770" s="3">
        <v>45996</v>
      </c>
      <c r="G770">
        <v>202609</v>
      </c>
      <c r="H770" t="s">
        <v>75</v>
      </c>
      <c r="I770" t="s">
        <v>76</v>
      </c>
      <c r="J770" t="s">
        <v>77</v>
      </c>
      <c r="K770" t="s">
        <v>78</v>
      </c>
      <c r="L770" t="s">
        <v>100</v>
      </c>
      <c r="M770" t="s">
        <v>101</v>
      </c>
      <c r="N770" t="s">
        <v>1538</v>
      </c>
      <c r="O770" t="s">
        <v>89</v>
      </c>
      <c r="P770" t="str">
        <f>"4170072221                    "</f>
        <v xml:space="preserve">4170072221                    </v>
      </c>
      <c r="Q770">
        <v>0</v>
      </c>
      <c r="R770">
        <v>0</v>
      </c>
      <c r="S770">
        <v>0</v>
      </c>
      <c r="T770">
        <v>0</v>
      </c>
      <c r="U770">
        <v>0</v>
      </c>
      <c r="V770">
        <v>0</v>
      </c>
      <c r="W770">
        <v>0</v>
      </c>
      <c r="X770">
        <v>0</v>
      </c>
      <c r="Y770">
        <v>0</v>
      </c>
      <c r="Z770">
        <v>0</v>
      </c>
      <c r="AA770">
        <v>0</v>
      </c>
      <c r="AB770">
        <v>0</v>
      </c>
      <c r="AC770">
        <v>0</v>
      </c>
      <c r="AD770">
        <v>0</v>
      </c>
      <c r="AE770">
        <v>0</v>
      </c>
      <c r="AF770">
        <v>0</v>
      </c>
      <c r="AG770">
        <v>0</v>
      </c>
      <c r="AH770">
        <v>0</v>
      </c>
      <c r="AI770">
        <v>0</v>
      </c>
      <c r="AJ770">
        <v>0</v>
      </c>
      <c r="AK770">
        <v>0</v>
      </c>
      <c r="AL770">
        <v>0</v>
      </c>
      <c r="AM770">
        <v>0</v>
      </c>
      <c r="AN770">
        <v>0</v>
      </c>
      <c r="AO770">
        <v>0</v>
      </c>
      <c r="AP770">
        <v>0</v>
      </c>
      <c r="AQ770">
        <v>25.52</v>
      </c>
      <c r="AR770">
        <v>0</v>
      </c>
      <c r="AS770">
        <v>0</v>
      </c>
      <c r="AT770">
        <v>0</v>
      </c>
      <c r="AU770">
        <v>0</v>
      </c>
      <c r="AV770">
        <v>0</v>
      </c>
      <c r="AW770">
        <v>0</v>
      </c>
      <c r="AX770">
        <v>0</v>
      </c>
      <c r="AY770">
        <v>0</v>
      </c>
      <c r="AZ770">
        <v>0</v>
      </c>
      <c r="BA770">
        <v>0</v>
      </c>
      <c r="BB770">
        <v>0</v>
      </c>
      <c r="BC770">
        <v>0</v>
      </c>
      <c r="BD770">
        <v>0</v>
      </c>
      <c r="BE770">
        <v>0</v>
      </c>
      <c r="BF770">
        <v>0</v>
      </c>
      <c r="BG770">
        <v>0</v>
      </c>
      <c r="BH770">
        <v>1</v>
      </c>
      <c r="BI770">
        <v>1</v>
      </c>
      <c r="BJ770">
        <v>0.2</v>
      </c>
      <c r="BK770">
        <v>1</v>
      </c>
      <c r="BL770">
        <v>76.06</v>
      </c>
      <c r="BM770">
        <v>11.41</v>
      </c>
      <c r="BN770">
        <v>87.47</v>
      </c>
      <c r="BO770">
        <v>87.47</v>
      </c>
      <c r="BQ770" t="s">
        <v>1539</v>
      </c>
      <c r="BR770" t="s">
        <v>82</v>
      </c>
      <c r="BS770" s="3">
        <v>45999</v>
      </c>
      <c r="BT770" s="4">
        <v>0.40625</v>
      </c>
      <c r="BU770" t="s">
        <v>1540</v>
      </c>
      <c r="BV770" t="s">
        <v>84</v>
      </c>
      <c r="BY770">
        <v>1200</v>
      </c>
      <c r="CA770" t="s">
        <v>1541</v>
      </c>
      <c r="CC770" t="s">
        <v>101</v>
      </c>
      <c r="CD770">
        <v>4052</v>
      </c>
      <c r="CE770" t="s">
        <v>134</v>
      </c>
      <c r="CF770" s="3">
        <v>46000</v>
      </c>
      <c r="CI770">
        <v>1</v>
      </c>
      <c r="CJ770">
        <v>1</v>
      </c>
      <c r="CK770">
        <v>21</v>
      </c>
      <c r="CL770" t="s">
        <v>87</v>
      </c>
    </row>
    <row r="771" spans="1:90" x14ac:dyDescent="0.3">
      <c r="A771" t="s">
        <v>72</v>
      </c>
      <c r="B771" t="s">
        <v>73</v>
      </c>
      <c r="C771" t="s">
        <v>74</v>
      </c>
      <c r="E771" t="str">
        <f>"080069702055"</f>
        <v>080069702055</v>
      </c>
      <c r="F771" s="3">
        <v>45996</v>
      </c>
      <c r="G771">
        <v>202609</v>
      </c>
      <c r="H771" t="s">
        <v>75</v>
      </c>
      <c r="I771" t="s">
        <v>76</v>
      </c>
      <c r="J771" t="s">
        <v>77</v>
      </c>
      <c r="K771" t="s">
        <v>78</v>
      </c>
      <c r="L771" t="s">
        <v>535</v>
      </c>
      <c r="M771" t="s">
        <v>535</v>
      </c>
      <c r="N771" t="s">
        <v>702</v>
      </c>
      <c r="O771" t="s">
        <v>89</v>
      </c>
      <c r="P771" t="str">
        <f>"4170072052                    "</f>
        <v xml:space="preserve">4170072052                    </v>
      </c>
      <c r="Q771">
        <v>0</v>
      </c>
      <c r="R771">
        <v>0</v>
      </c>
      <c r="S771">
        <v>0</v>
      </c>
      <c r="T771">
        <v>0</v>
      </c>
      <c r="U771">
        <v>0</v>
      </c>
      <c r="V771">
        <v>0</v>
      </c>
      <c r="W771">
        <v>0</v>
      </c>
      <c r="X771">
        <v>0</v>
      </c>
      <c r="Y771">
        <v>0</v>
      </c>
      <c r="Z771">
        <v>0</v>
      </c>
      <c r="AA771">
        <v>0</v>
      </c>
      <c r="AB771">
        <v>0</v>
      </c>
      <c r="AC771">
        <v>0</v>
      </c>
      <c r="AD771">
        <v>0</v>
      </c>
      <c r="AE771">
        <v>0</v>
      </c>
      <c r="AF771">
        <v>0</v>
      </c>
      <c r="AG771">
        <v>0</v>
      </c>
      <c r="AH771">
        <v>0</v>
      </c>
      <c r="AI771">
        <v>0</v>
      </c>
      <c r="AJ771">
        <v>0</v>
      </c>
      <c r="AK771">
        <v>0</v>
      </c>
      <c r="AL771">
        <v>0</v>
      </c>
      <c r="AM771">
        <v>0</v>
      </c>
      <c r="AN771">
        <v>0</v>
      </c>
      <c r="AO771">
        <v>0</v>
      </c>
      <c r="AP771">
        <v>0</v>
      </c>
      <c r="AQ771">
        <v>49.45</v>
      </c>
      <c r="AR771">
        <v>0</v>
      </c>
      <c r="AS771">
        <v>0</v>
      </c>
      <c r="AT771">
        <v>0</v>
      </c>
      <c r="AU771">
        <v>0</v>
      </c>
      <c r="AV771">
        <v>0</v>
      </c>
      <c r="AW771">
        <v>0</v>
      </c>
      <c r="AX771">
        <v>0</v>
      </c>
      <c r="AY771">
        <v>0</v>
      </c>
      <c r="AZ771">
        <v>0</v>
      </c>
      <c r="BA771">
        <v>0</v>
      </c>
      <c r="BB771">
        <v>0</v>
      </c>
      <c r="BC771">
        <v>0</v>
      </c>
      <c r="BD771">
        <v>0</v>
      </c>
      <c r="BE771">
        <v>0</v>
      </c>
      <c r="BF771">
        <v>0</v>
      </c>
      <c r="BG771">
        <v>0</v>
      </c>
      <c r="BH771">
        <v>1</v>
      </c>
      <c r="BI771">
        <v>1</v>
      </c>
      <c r="BJ771">
        <v>0.2</v>
      </c>
      <c r="BK771">
        <v>1</v>
      </c>
      <c r="BL771">
        <v>147.38</v>
      </c>
      <c r="BM771">
        <v>22.11</v>
      </c>
      <c r="BN771">
        <v>169.49</v>
      </c>
      <c r="BO771">
        <v>169.49</v>
      </c>
      <c r="BQ771" t="s">
        <v>703</v>
      </c>
      <c r="BR771" t="s">
        <v>82</v>
      </c>
      <c r="BS771" s="3">
        <v>45999</v>
      </c>
      <c r="BT771" s="4">
        <v>0.53680555555555554</v>
      </c>
      <c r="BU771" t="s">
        <v>704</v>
      </c>
      <c r="BV771" t="s">
        <v>84</v>
      </c>
      <c r="BY771">
        <v>1200</v>
      </c>
      <c r="CA771" t="s">
        <v>539</v>
      </c>
      <c r="CC771" t="s">
        <v>535</v>
      </c>
      <c r="CD771">
        <v>7645</v>
      </c>
      <c r="CE771" t="s">
        <v>134</v>
      </c>
      <c r="CF771" s="3">
        <v>46000</v>
      </c>
      <c r="CI771">
        <v>1</v>
      </c>
      <c r="CJ771">
        <v>1</v>
      </c>
      <c r="CK771">
        <v>23</v>
      </c>
      <c r="CL771" t="s">
        <v>87</v>
      </c>
    </row>
    <row r="772" spans="1:90" x14ac:dyDescent="0.3">
      <c r="A772" t="s">
        <v>72</v>
      </c>
      <c r="B772" t="s">
        <v>73</v>
      </c>
      <c r="C772" t="s">
        <v>74</v>
      </c>
      <c r="E772" t="str">
        <f>"080069702090"</f>
        <v>080069702090</v>
      </c>
      <c r="F772" s="3">
        <v>45996</v>
      </c>
      <c r="G772">
        <v>202609</v>
      </c>
      <c r="H772" t="s">
        <v>75</v>
      </c>
      <c r="I772" t="s">
        <v>76</v>
      </c>
      <c r="J772" t="s">
        <v>77</v>
      </c>
      <c r="K772" t="s">
        <v>78</v>
      </c>
      <c r="L772" t="s">
        <v>128</v>
      </c>
      <c r="M772" t="s">
        <v>129</v>
      </c>
      <c r="N772" t="s">
        <v>383</v>
      </c>
      <c r="O772" t="s">
        <v>89</v>
      </c>
      <c r="P772" t="str">
        <f>"4170072065                    "</f>
        <v xml:space="preserve">4170072065                    </v>
      </c>
      <c r="Q772">
        <v>0</v>
      </c>
      <c r="R772">
        <v>0</v>
      </c>
      <c r="S772">
        <v>0</v>
      </c>
      <c r="T772">
        <v>0</v>
      </c>
      <c r="U772">
        <v>0</v>
      </c>
      <c r="V772">
        <v>0</v>
      </c>
      <c r="W772">
        <v>0</v>
      </c>
      <c r="X772">
        <v>0</v>
      </c>
      <c r="Y772">
        <v>0</v>
      </c>
      <c r="Z772">
        <v>0</v>
      </c>
      <c r="AA772">
        <v>0</v>
      </c>
      <c r="AB772">
        <v>0</v>
      </c>
      <c r="AC772">
        <v>0</v>
      </c>
      <c r="AD772">
        <v>0</v>
      </c>
      <c r="AE772">
        <v>0</v>
      </c>
      <c r="AF772">
        <v>0</v>
      </c>
      <c r="AG772">
        <v>0</v>
      </c>
      <c r="AH772">
        <v>0</v>
      </c>
      <c r="AI772">
        <v>0</v>
      </c>
      <c r="AJ772">
        <v>0</v>
      </c>
      <c r="AK772">
        <v>0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25.52</v>
      </c>
      <c r="AR772">
        <v>0</v>
      </c>
      <c r="AS772">
        <v>0</v>
      </c>
      <c r="AT772">
        <v>0</v>
      </c>
      <c r="AU772">
        <v>0</v>
      </c>
      <c r="AV772">
        <v>0</v>
      </c>
      <c r="AW772">
        <v>0</v>
      </c>
      <c r="AX772">
        <v>0</v>
      </c>
      <c r="AY772">
        <v>0</v>
      </c>
      <c r="AZ772">
        <v>0</v>
      </c>
      <c r="BA772">
        <v>0</v>
      </c>
      <c r="BB772">
        <v>0</v>
      </c>
      <c r="BC772">
        <v>0</v>
      </c>
      <c r="BD772">
        <v>0</v>
      </c>
      <c r="BE772">
        <v>0</v>
      </c>
      <c r="BF772">
        <v>0</v>
      </c>
      <c r="BG772">
        <v>0</v>
      </c>
      <c r="BH772">
        <v>1</v>
      </c>
      <c r="BI772">
        <v>1</v>
      </c>
      <c r="BJ772">
        <v>0.2</v>
      </c>
      <c r="BK772">
        <v>1</v>
      </c>
      <c r="BL772">
        <v>76.06</v>
      </c>
      <c r="BM772">
        <v>11.41</v>
      </c>
      <c r="BN772">
        <v>87.47</v>
      </c>
      <c r="BO772">
        <v>87.47</v>
      </c>
      <c r="BQ772" t="s">
        <v>384</v>
      </c>
      <c r="BR772" t="s">
        <v>82</v>
      </c>
      <c r="BS772" s="3">
        <v>45999</v>
      </c>
      <c r="BT772" s="4">
        <v>0.47708333333333336</v>
      </c>
      <c r="BU772" t="s">
        <v>359</v>
      </c>
      <c r="BV772" t="s">
        <v>87</v>
      </c>
      <c r="BW772" t="s">
        <v>186</v>
      </c>
      <c r="BX772" t="s">
        <v>187</v>
      </c>
      <c r="BY772">
        <v>1200</v>
      </c>
      <c r="CA772" t="s">
        <v>188</v>
      </c>
      <c r="CC772" t="s">
        <v>129</v>
      </c>
      <c r="CD772">
        <v>5201</v>
      </c>
      <c r="CE772" t="s">
        <v>134</v>
      </c>
      <c r="CF772" s="3">
        <v>46000</v>
      </c>
      <c r="CI772">
        <v>1</v>
      </c>
      <c r="CJ772">
        <v>1</v>
      </c>
      <c r="CK772">
        <v>21</v>
      </c>
      <c r="CL772" t="s">
        <v>87</v>
      </c>
    </row>
    <row r="773" spans="1:90" x14ac:dyDescent="0.3">
      <c r="A773" t="s">
        <v>72</v>
      </c>
      <c r="B773" t="s">
        <v>73</v>
      </c>
      <c r="C773" t="s">
        <v>74</v>
      </c>
      <c r="E773" t="str">
        <f>"080069702139"</f>
        <v>080069702139</v>
      </c>
      <c r="F773" s="3">
        <v>45996</v>
      </c>
      <c r="G773">
        <v>202609</v>
      </c>
      <c r="H773" t="s">
        <v>75</v>
      </c>
      <c r="I773" t="s">
        <v>76</v>
      </c>
      <c r="J773" t="s">
        <v>77</v>
      </c>
      <c r="K773" t="s">
        <v>78</v>
      </c>
      <c r="L773" t="s">
        <v>208</v>
      </c>
      <c r="M773" t="s">
        <v>209</v>
      </c>
      <c r="N773" t="s">
        <v>1535</v>
      </c>
      <c r="O773" t="s">
        <v>89</v>
      </c>
      <c r="P773" t="str">
        <f>"4170072182                    "</f>
        <v xml:space="preserve">4170072182                    </v>
      </c>
      <c r="Q773">
        <v>0</v>
      </c>
      <c r="R773">
        <v>0</v>
      </c>
      <c r="S773">
        <v>0</v>
      </c>
      <c r="T773">
        <v>0</v>
      </c>
      <c r="U773">
        <v>0</v>
      </c>
      <c r="V773">
        <v>0</v>
      </c>
      <c r="W773">
        <v>0</v>
      </c>
      <c r="X773">
        <v>0</v>
      </c>
      <c r="Y773">
        <v>0</v>
      </c>
      <c r="Z773">
        <v>0</v>
      </c>
      <c r="AA773">
        <v>0</v>
      </c>
      <c r="AB773">
        <v>0</v>
      </c>
      <c r="AC773">
        <v>0</v>
      </c>
      <c r="AD773">
        <v>0</v>
      </c>
      <c r="AE773">
        <v>0</v>
      </c>
      <c r="AF773">
        <v>0</v>
      </c>
      <c r="AG773">
        <v>0</v>
      </c>
      <c r="AH773">
        <v>0</v>
      </c>
      <c r="AI773">
        <v>0</v>
      </c>
      <c r="AJ773">
        <v>0</v>
      </c>
      <c r="AK773">
        <v>0</v>
      </c>
      <c r="AL773">
        <v>0</v>
      </c>
      <c r="AM773">
        <v>0</v>
      </c>
      <c r="AN773">
        <v>0</v>
      </c>
      <c r="AO773">
        <v>0</v>
      </c>
      <c r="AP773">
        <v>0</v>
      </c>
      <c r="AQ773">
        <v>25.52</v>
      </c>
      <c r="AR773">
        <v>0</v>
      </c>
      <c r="AS773">
        <v>0</v>
      </c>
      <c r="AT773">
        <v>0</v>
      </c>
      <c r="AU773">
        <v>0</v>
      </c>
      <c r="AV773">
        <v>0</v>
      </c>
      <c r="AW773">
        <v>0</v>
      </c>
      <c r="AX773">
        <v>0</v>
      </c>
      <c r="AY773">
        <v>0</v>
      </c>
      <c r="AZ773">
        <v>0</v>
      </c>
      <c r="BA773">
        <v>0</v>
      </c>
      <c r="BB773">
        <v>0</v>
      </c>
      <c r="BC773">
        <v>0</v>
      </c>
      <c r="BD773">
        <v>0</v>
      </c>
      <c r="BE773">
        <v>0</v>
      </c>
      <c r="BF773">
        <v>0</v>
      </c>
      <c r="BG773">
        <v>0</v>
      </c>
      <c r="BH773">
        <v>1</v>
      </c>
      <c r="BI773">
        <v>1</v>
      </c>
      <c r="BJ773">
        <v>0.2</v>
      </c>
      <c r="BK773">
        <v>1</v>
      </c>
      <c r="BL773">
        <v>76.06</v>
      </c>
      <c r="BM773">
        <v>11.41</v>
      </c>
      <c r="BN773">
        <v>87.47</v>
      </c>
      <c r="BO773">
        <v>87.47</v>
      </c>
      <c r="BQ773" t="s">
        <v>1536</v>
      </c>
      <c r="BR773" t="s">
        <v>82</v>
      </c>
      <c r="BS773" s="3">
        <v>45999</v>
      </c>
      <c r="BT773" s="4">
        <v>0.55347222222222225</v>
      </c>
      <c r="BU773" t="s">
        <v>1537</v>
      </c>
      <c r="BV773" t="s">
        <v>84</v>
      </c>
      <c r="BY773">
        <v>1200</v>
      </c>
      <c r="CA773">
        <v>8203305410088</v>
      </c>
      <c r="CC773" t="s">
        <v>209</v>
      </c>
      <c r="CD773" s="5" t="s">
        <v>213</v>
      </c>
      <c r="CE773" t="s">
        <v>134</v>
      </c>
      <c r="CF773" s="3">
        <v>46000</v>
      </c>
      <c r="CI773">
        <v>1</v>
      </c>
      <c r="CJ773">
        <v>1</v>
      </c>
      <c r="CK773">
        <v>21</v>
      </c>
      <c r="CL773" t="s">
        <v>87</v>
      </c>
    </row>
    <row r="774" spans="1:90" x14ac:dyDescent="0.3">
      <c r="A774" t="s">
        <v>72</v>
      </c>
      <c r="B774" t="s">
        <v>73</v>
      </c>
      <c r="C774" t="s">
        <v>74</v>
      </c>
      <c r="E774" t="str">
        <f>"080069702187"</f>
        <v>080069702187</v>
      </c>
      <c r="F774" s="3">
        <v>45996</v>
      </c>
      <c r="G774">
        <v>202609</v>
      </c>
      <c r="H774" t="s">
        <v>75</v>
      </c>
      <c r="I774" t="s">
        <v>76</v>
      </c>
      <c r="J774" t="s">
        <v>77</v>
      </c>
      <c r="K774" t="s">
        <v>78</v>
      </c>
      <c r="L774" t="s">
        <v>94</v>
      </c>
      <c r="M774" t="s">
        <v>95</v>
      </c>
      <c r="N774" t="s">
        <v>1542</v>
      </c>
      <c r="O774" t="s">
        <v>89</v>
      </c>
      <c r="P774" t="str">
        <f>"4170072128                    "</f>
        <v xml:space="preserve">4170072128                    </v>
      </c>
      <c r="Q774">
        <v>0</v>
      </c>
      <c r="R774">
        <v>0</v>
      </c>
      <c r="S774">
        <v>0</v>
      </c>
      <c r="T774">
        <v>0</v>
      </c>
      <c r="U774">
        <v>0</v>
      </c>
      <c r="V774">
        <v>0</v>
      </c>
      <c r="W774">
        <v>0</v>
      </c>
      <c r="X774">
        <v>0</v>
      </c>
      <c r="Y774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>
        <v>0</v>
      </c>
      <c r="AG774">
        <v>0</v>
      </c>
      <c r="AH774">
        <v>0</v>
      </c>
      <c r="AI774">
        <v>0</v>
      </c>
      <c r="AJ774">
        <v>0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25.52</v>
      </c>
      <c r="AR774">
        <v>0</v>
      </c>
      <c r="AS774">
        <v>0</v>
      </c>
      <c r="AT774">
        <v>0</v>
      </c>
      <c r="AU774">
        <v>0</v>
      </c>
      <c r="AV774">
        <v>0</v>
      </c>
      <c r="AW774">
        <v>0</v>
      </c>
      <c r="AX774">
        <v>0</v>
      </c>
      <c r="AY774">
        <v>0</v>
      </c>
      <c r="AZ774">
        <v>0</v>
      </c>
      <c r="BA774">
        <v>0</v>
      </c>
      <c r="BB774">
        <v>0</v>
      </c>
      <c r="BC774">
        <v>0</v>
      </c>
      <c r="BD774">
        <v>0</v>
      </c>
      <c r="BE774">
        <v>0</v>
      </c>
      <c r="BF774">
        <v>0</v>
      </c>
      <c r="BG774">
        <v>0</v>
      </c>
      <c r="BH774">
        <v>1</v>
      </c>
      <c r="BI774">
        <v>1</v>
      </c>
      <c r="BJ774">
        <v>0.2</v>
      </c>
      <c r="BK774">
        <v>1</v>
      </c>
      <c r="BL774">
        <v>76.06</v>
      </c>
      <c r="BM774">
        <v>11.41</v>
      </c>
      <c r="BN774">
        <v>87.47</v>
      </c>
      <c r="BO774">
        <v>87.47</v>
      </c>
      <c r="BQ774" t="s">
        <v>1543</v>
      </c>
      <c r="BR774" t="s">
        <v>82</v>
      </c>
      <c r="BS774" s="3">
        <v>45999</v>
      </c>
      <c r="BT774" s="4">
        <v>0.34305555555555556</v>
      </c>
      <c r="BU774" t="s">
        <v>1544</v>
      </c>
      <c r="BV774" t="s">
        <v>84</v>
      </c>
      <c r="BY774">
        <v>1200</v>
      </c>
      <c r="CA774" t="s">
        <v>1545</v>
      </c>
      <c r="CC774" t="s">
        <v>95</v>
      </c>
      <c r="CD774">
        <v>3610</v>
      </c>
      <c r="CE774" t="s">
        <v>134</v>
      </c>
      <c r="CF774" s="3">
        <v>45999</v>
      </c>
      <c r="CI774">
        <v>1</v>
      </c>
      <c r="CJ774">
        <v>1</v>
      </c>
      <c r="CK774">
        <v>21</v>
      </c>
      <c r="CL774" t="s">
        <v>87</v>
      </c>
    </row>
    <row r="775" spans="1:90" x14ac:dyDescent="0.3">
      <c r="A775" t="s">
        <v>72</v>
      </c>
      <c r="B775" t="s">
        <v>73</v>
      </c>
      <c r="C775" t="s">
        <v>74</v>
      </c>
      <c r="E775" t="str">
        <f>"080069702195"</f>
        <v>080069702195</v>
      </c>
      <c r="F775" s="3">
        <v>45996</v>
      </c>
      <c r="G775">
        <v>202609</v>
      </c>
      <c r="H775" t="s">
        <v>75</v>
      </c>
      <c r="I775" t="s">
        <v>76</v>
      </c>
      <c r="J775" t="s">
        <v>77</v>
      </c>
      <c r="K775" t="s">
        <v>78</v>
      </c>
      <c r="L775" t="s">
        <v>156</v>
      </c>
      <c r="M775" t="s">
        <v>157</v>
      </c>
      <c r="N775" t="s">
        <v>443</v>
      </c>
      <c r="O775" t="s">
        <v>89</v>
      </c>
      <c r="P775" t="str">
        <f>"4170072226                    "</f>
        <v xml:space="preserve">4170072226                    </v>
      </c>
      <c r="Q775">
        <v>0</v>
      </c>
      <c r="R775">
        <v>0</v>
      </c>
      <c r="S775">
        <v>0</v>
      </c>
      <c r="T775">
        <v>0</v>
      </c>
      <c r="U775">
        <v>0</v>
      </c>
      <c r="V775">
        <v>0</v>
      </c>
      <c r="W775">
        <v>0</v>
      </c>
      <c r="X775">
        <v>0</v>
      </c>
      <c r="Y775">
        <v>0</v>
      </c>
      <c r="Z775">
        <v>0</v>
      </c>
      <c r="AA775">
        <v>0</v>
      </c>
      <c r="AB775">
        <v>0</v>
      </c>
      <c r="AC775">
        <v>0</v>
      </c>
      <c r="AD775">
        <v>0</v>
      </c>
      <c r="AE775">
        <v>0</v>
      </c>
      <c r="AF775">
        <v>0</v>
      </c>
      <c r="AG775">
        <v>0</v>
      </c>
      <c r="AH775">
        <v>0</v>
      </c>
      <c r="AI775">
        <v>0</v>
      </c>
      <c r="AJ775">
        <v>0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25.52</v>
      </c>
      <c r="AR775">
        <v>0</v>
      </c>
      <c r="AS775">
        <v>0</v>
      </c>
      <c r="AT775">
        <v>0</v>
      </c>
      <c r="AU775">
        <v>0</v>
      </c>
      <c r="AV775">
        <v>0</v>
      </c>
      <c r="AW775">
        <v>0</v>
      </c>
      <c r="AX775">
        <v>0</v>
      </c>
      <c r="AY775">
        <v>0</v>
      </c>
      <c r="AZ775">
        <v>0</v>
      </c>
      <c r="BA775">
        <v>0</v>
      </c>
      <c r="BB775">
        <v>0</v>
      </c>
      <c r="BC775">
        <v>0</v>
      </c>
      <c r="BD775">
        <v>0</v>
      </c>
      <c r="BE775">
        <v>0</v>
      </c>
      <c r="BF775">
        <v>0</v>
      </c>
      <c r="BG775">
        <v>0</v>
      </c>
      <c r="BH775">
        <v>1</v>
      </c>
      <c r="BI775">
        <v>1</v>
      </c>
      <c r="BJ775">
        <v>0.2</v>
      </c>
      <c r="BK775">
        <v>1</v>
      </c>
      <c r="BL775">
        <v>76.06</v>
      </c>
      <c r="BM775">
        <v>11.41</v>
      </c>
      <c r="BN775">
        <v>87.47</v>
      </c>
      <c r="BO775">
        <v>87.47</v>
      </c>
      <c r="BQ775" t="s">
        <v>444</v>
      </c>
      <c r="BR775" t="s">
        <v>82</v>
      </c>
      <c r="BS775" s="3">
        <v>45999</v>
      </c>
      <c r="BT775" s="4">
        <v>0.36666666666666664</v>
      </c>
      <c r="BU775" t="s">
        <v>445</v>
      </c>
      <c r="BV775" t="s">
        <v>84</v>
      </c>
      <c r="BY775">
        <v>1200</v>
      </c>
      <c r="CA775" t="s">
        <v>346</v>
      </c>
      <c r="CC775" t="s">
        <v>157</v>
      </c>
      <c r="CD775">
        <v>7530</v>
      </c>
      <c r="CE775" t="s">
        <v>134</v>
      </c>
      <c r="CF775" s="3">
        <v>46000</v>
      </c>
      <c r="CI775">
        <v>1</v>
      </c>
      <c r="CJ775">
        <v>1</v>
      </c>
      <c r="CK775">
        <v>21</v>
      </c>
      <c r="CL775" t="s">
        <v>87</v>
      </c>
    </row>
    <row r="776" spans="1:90" x14ac:dyDescent="0.3">
      <c r="A776" t="s">
        <v>72</v>
      </c>
      <c r="B776" t="s">
        <v>73</v>
      </c>
      <c r="C776" t="s">
        <v>74</v>
      </c>
      <c r="E776" t="str">
        <f>"080069702233"</f>
        <v>080069702233</v>
      </c>
      <c r="F776" s="3">
        <v>45996</v>
      </c>
      <c r="G776">
        <v>202609</v>
      </c>
      <c r="H776" t="s">
        <v>75</v>
      </c>
      <c r="I776" t="s">
        <v>76</v>
      </c>
      <c r="J776" t="s">
        <v>77</v>
      </c>
      <c r="K776" t="s">
        <v>78</v>
      </c>
      <c r="L776" t="s">
        <v>176</v>
      </c>
      <c r="M776" t="s">
        <v>177</v>
      </c>
      <c r="N776" t="s">
        <v>1546</v>
      </c>
      <c r="O776" t="s">
        <v>80</v>
      </c>
      <c r="P776" t="str">
        <f>"4170072003                    "</f>
        <v xml:space="preserve">4170072003                    </v>
      </c>
      <c r="Q776">
        <v>0</v>
      </c>
      <c r="R776">
        <v>0</v>
      </c>
      <c r="S776">
        <v>0</v>
      </c>
      <c r="T776">
        <v>0</v>
      </c>
      <c r="U776">
        <v>0</v>
      </c>
      <c r="V776">
        <v>0</v>
      </c>
      <c r="W776">
        <v>0</v>
      </c>
      <c r="X776">
        <v>0</v>
      </c>
      <c r="Y776">
        <v>0</v>
      </c>
      <c r="Z776">
        <v>0</v>
      </c>
      <c r="AA776">
        <v>0</v>
      </c>
      <c r="AB776">
        <v>0</v>
      </c>
      <c r="AC776">
        <v>0</v>
      </c>
      <c r="AD776">
        <v>0</v>
      </c>
      <c r="AE776">
        <v>0</v>
      </c>
      <c r="AF776">
        <v>0</v>
      </c>
      <c r="AG776">
        <v>0</v>
      </c>
      <c r="AH776">
        <v>0</v>
      </c>
      <c r="AI776">
        <v>0</v>
      </c>
      <c r="AJ776">
        <v>0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60.31</v>
      </c>
      <c r="AR776">
        <v>0</v>
      </c>
      <c r="AS776">
        <v>0</v>
      </c>
      <c r="AT776">
        <v>0</v>
      </c>
      <c r="AU776">
        <v>0</v>
      </c>
      <c r="AV776">
        <v>0</v>
      </c>
      <c r="AW776">
        <v>0</v>
      </c>
      <c r="AX776">
        <v>0</v>
      </c>
      <c r="AY776">
        <v>0</v>
      </c>
      <c r="AZ776">
        <v>0</v>
      </c>
      <c r="BA776">
        <v>0</v>
      </c>
      <c r="BB776">
        <v>0</v>
      </c>
      <c r="BC776">
        <v>0</v>
      </c>
      <c r="BD776">
        <v>0</v>
      </c>
      <c r="BE776">
        <v>0</v>
      </c>
      <c r="BF776">
        <v>0</v>
      </c>
      <c r="BG776">
        <v>0</v>
      </c>
      <c r="BH776">
        <v>1</v>
      </c>
      <c r="BI776">
        <v>17.3</v>
      </c>
      <c r="BJ776">
        <v>34.1</v>
      </c>
      <c r="BK776">
        <v>35</v>
      </c>
      <c r="BL776">
        <v>185.83</v>
      </c>
      <c r="BM776">
        <v>27.87</v>
      </c>
      <c r="BN776">
        <v>213.7</v>
      </c>
      <c r="BO776">
        <v>213.7</v>
      </c>
      <c r="BQ776" t="s">
        <v>1547</v>
      </c>
      <c r="BR776" t="s">
        <v>82</v>
      </c>
      <c r="BS776" s="3">
        <v>45999</v>
      </c>
      <c r="BT776" s="4">
        <v>0.41666666666666669</v>
      </c>
      <c r="BU776" t="s">
        <v>1548</v>
      </c>
      <c r="BV776" t="s">
        <v>84</v>
      </c>
      <c r="BY776">
        <v>170520</v>
      </c>
      <c r="CA776" t="s">
        <v>182</v>
      </c>
      <c r="CC776" t="s">
        <v>177</v>
      </c>
      <c r="CD776">
        <v>2197</v>
      </c>
      <c r="CE776" t="s">
        <v>86</v>
      </c>
      <c r="CF776" s="3">
        <v>45999</v>
      </c>
      <c r="CI776">
        <v>1</v>
      </c>
      <c r="CJ776">
        <v>1</v>
      </c>
      <c r="CK776">
        <v>42</v>
      </c>
      <c r="CL776" t="s">
        <v>87</v>
      </c>
    </row>
    <row r="777" spans="1:90" x14ac:dyDescent="0.3">
      <c r="A777" t="s">
        <v>72</v>
      </c>
      <c r="B777" t="s">
        <v>73</v>
      </c>
      <c r="C777" t="s">
        <v>74</v>
      </c>
      <c r="E777" t="str">
        <f>"080069702367"</f>
        <v>080069702367</v>
      </c>
      <c r="F777" s="3">
        <v>45996</v>
      </c>
      <c r="G777">
        <v>202609</v>
      </c>
      <c r="H777" t="s">
        <v>75</v>
      </c>
      <c r="I777" t="s">
        <v>76</v>
      </c>
      <c r="J777" t="s">
        <v>77</v>
      </c>
      <c r="K777" t="s">
        <v>78</v>
      </c>
      <c r="L777" t="s">
        <v>141</v>
      </c>
      <c r="M777" t="s">
        <v>142</v>
      </c>
      <c r="N777" t="s">
        <v>587</v>
      </c>
      <c r="O777" t="s">
        <v>89</v>
      </c>
      <c r="P777" t="str">
        <f>"4170072041                    "</f>
        <v xml:space="preserve">4170072041                    </v>
      </c>
      <c r="Q777">
        <v>0</v>
      </c>
      <c r="R777">
        <v>0</v>
      </c>
      <c r="S777">
        <v>0</v>
      </c>
      <c r="T777">
        <v>0</v>
      </c>
      <c r="U777">
        <v>0</v>
      </c>
      <c r="V777">
        <v>0</v>
      </c>
      <c r="W777">
        <v>0</v>
      </c>
      <c r="X777">
        <v>0</v>
      </c>
      <c r="Y777">
        <v>0</v>
      </c>
      <c r="Z777">
        <v>0</v>
      </c>
      <c r="AA777">
        <v>0</v>
      </c>
      <c r="AB777">
        <v>0</v>
      </c>
      <c r="AC777">
        <v>0</v>
      </c>
      <c r="AD777">
        <v>0</v>
      </c>
      <c r="AE777">
        <v>0</v>
      </c>
      <c r="AF777">
        <v>0</v>
      </c>
      <c r="AG777">
        <v>0</v>
      </c>
      <c r="AH777">
        <v>0</v>
      </c>
      <c r="AI777">
        <v>0</v>
      </c>
      <c r="AJ777">
        <v>0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44.66</v>
      </c>
      <c r="AR777">
        <v>0</v>
      </c>
      <c r="AS777">
        <v>0</v>
      </c>
      <c r="AT777">
        <v>0</v>
      </c>
      <c r="AU777">
        <v>0</v>
      </c>
      <c r="AV777">
        <v>0</v>
      </c>
      <c r="AW777">
        <v>0</v>
      </c>
      <c r="AX777">
        <v>0</v>
      </c>
      <c r="AY777">
        <v>0</v>
      </c>
      <c r="AZ777">
        <v>0</v>
      </c>
      <c r="BA777">
        <v>0</v>
      </c>
      <c r="BB777">
        <v>0</v>
      </c>
      <c r="BC777">
        <v>0</v>
      </c>
      <c r="BD777">
        <v>0</v>
      </c>
      <c r="BE777">
        <v>0</v>
      </c>
      <c r="BF777">
        <v>0</v>
      </c>
      <c r="BG777">
        <v>0</v>
      </c>
      <c r="BH777">
        <v>2</v>
      </c>
      <c r="BI777">
        <v>1.9</v>
      </c>
      <c r="BJ777">
        <v>3.1</v>
      </c>
      <c r="BK777">
        <v>3.5</v>
      </c>
      <c r="BL777">
        <v>133.09</v>
      </c>
      <c r="BM777">
        <v>19.96</v>
      </c>
      <c r="BN777">
        <v>153.05000000000001</v>
      </c>
      <c r="BO777">
        <v>153.05000000000001</v>
      </c>
      <c r="BQ777" t="s">
        <v>588</v>
      </c>
      <c r="BR777" t="s">
        <v>82</v>
      </c>
      <c r="BS777" s="3">
        <v>45999</v>
      </c>
      <c r="BT777" s="4">
        <v>0.38194444444444442</v>
      </c>
      <c r="BU777" t="s">
        <v>589</v>
      </c>
      <c r="BV777" t="s">
        <v>84</v>
      </c>
      <c r="BY777">
        <v>15303.43</v>
      </c>
      <c r="CA777" t="s">
        <v>571</v>
      </c>
      <c r="CC777" t="s">
        <v>142</v>
      </c>
      <c r="CD777">
        <v>6001</v>
      </c>
      <c r="CE777" t="s">
        <v>134</v>
      </c>
      <c r="CF777" s="3">
        <v>45999</v>
      </c>
      <c r="CI777">
        <v>1</v>
      </c>
      <c r="CJ777">
        <v>1</v>
      </c>
      <c r="CK777">
        <v>21</v>
      </c>
      <c r="CL777" t="s">
        <v>87</v>
      </c>
    </row>
    <row r="778" spans="1:90" x14ac:dyDescent="0.3">
      <c r="A778" t="s">
        <v>72</v>
      </c>
      <c r="B778" t="s">
        <v>73</v>
      </c>
      <c r="C778" t="s">
        <v>74</v>
      </c>
      <c r="E778" t="str">
        <f>"080069702760"</f>
        <v>080069702760</v>
      </c>
      <c r="F778" s="3">
        <v>45996</v>
      </c>
      <c r="G778">
        <v>202609</v>
      </c>
      <c r="H778" t="s">
        <v>75</v>
      </c>
      <c r="I778" t="s">
        <v>76</v>
      </c>
      <c r="J778" t="s">
        <v>77</v>
      </c>
      <c r="K778" t="s">
        <v>78</v>
      </c>
      <c r="L778" t="s">
        <v>302</v>
      </c>
      <c r="M778" t="s">
        <v>303</v>
      </c>
      <c r="N778" t="s">
        <v>304</v>
      </c>
      <c r="O778" t="s">
        <v>80</v>
      </c>
      <c r="P778" t="str">
        <f>"4170072161                    "</f>
        <v xml:space="preserve">4170072161                    </v>
      </c>
      <c r="Q778">
        <v>0</v>
      </c>
      <c r="R778">
        <v>0</v>
      </c>
      <c r="S778">
        <v>0</v>
      </c>
      <c r="T778">
        <v>0</v>
      </c>
      <c r="U778">
        <v>0</v>
      </c>
      <c r="V778">
        <v>0</v>
      </c>
      <c r="W778">
        <v>0</v>
      </c>
      <c r="X778">
        <v>0</v>
      </c>
      <c r="Y778">
        <v>0</v>
      </c>
      <c r="Z778">
        <v>0</v>
      </c>
      <c r="AA778">
        <v>0</v>
      </c>
      <c r="AB778">
        <v>0</v>
      </c>
      <c r="AC778">
        <v>0</v>
      </c>
      <c r="AD778">
        <v>0</v>
      </c>
      <c r="AE778">
        <v>0</v>
      </c>
      <c r="AF778">
        <v>0</v>
      </c>
      <c r="AG778">
        <v>0</v>
      </c>
      <c r="AH778">
        <v>0</v>
      </c>
      <c r="AI778">
        <v>0</v>
      </c>
      <c r="AJ778">
        <v>0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104.44</v>
      </c>
      <c r="AR778">
        <v>0</v>
      </c>
      <c r="AS778">
        <v>0</v>
      </c>
      <c r="AT778">
        <v>0</v>
      </c>
      <c r="AU778">
        <v>0</v>
      </c>
      <c r="AV778">
        <v>0</v>
      </c>
      <c r="AW778">
        <v>0</v>
      </c>
      <c r="AX778">
        <v>0</v>
      </c>
      <c r="AY778">
        <v>0</v>
      </c>
      <c r="AZ778">
        <v>0</v>
      </c>
      <c r="BA778">
        <v>0</v>
      </c>
      <c r="BB778">
        <v>0</v>
      </c>
      <c r="BC778">
        <v>0</v>
      </c>
      <c r="BD778">
        <v>0</v>
      </c>
      <c r="BE778">
        <v>0</v>
      </c>
      <c r="BF778">
        <v>0</v>
      </c>
      <c r="BG778">
        <v>0</v>
      </c>
      <c r="BH778">
        <v>1</v>
      </c>
      <c r="BI778">
        <v>42</v>
      </c>
      <c r="BJ778">
        <v>31.2</v>
      </c>
      <c r="BK778">
        <v>42</v>
      </c>
      <c r="BL778">
        <v>317.36</v>
      </c>
      <c r="BM778">
        <v>47.6</v>
      </c>
      <c r="BN778">
        <v>364.96</v>
      </c>
      <c r="BO778">
        <v>364.96</v>
      </c>
      <c r="BQ778" t="s">
        <v>305</v>
      </c>
      <c r="BR778" t="s">
        <v>82</v>
      </c>
      <c r="BS778" s="3">
        <v>45999</v>
      </c>
      <c r="BT778" s="4">
        <v>0.42708333333333331</v>
      </c>
      <c r="BU778" t="s">
        <v>1549</v>
      </c>
      <c r="BV778" t="s">
        <v>84</v>
      </c>
      <c r="BY778">
        <v>156000</v>
      </c>
      <c r="CC778" t="s">
        <v>303</v>
      </c>
      <c r="CD778" s="5" t="s">
        <v>307</v>
      </c>
      <c r="CE778" t="s">
        <v>790</v>
      </c>
      <c r="CF778" s="3">
        <v>45999</v>
      </c>
      <c r="CI778">
        <v>1</v>
      </c>
      <c r="CJ778">
        <v>1</v>
      </c>
      <c r="CK778">
        <v>41</v>
      </c>
      <c r="CL778" t="s">
        <v>87</v>
      </c>
    </row>
    <row r="779" spans="1:90" x14ac:dyDescent="0.3">
      <c r="A779" t="s">
        <v>72</v>
      </c>
      <c r="B779" t="s">
        <v>73</v>
      </c>
      <c r="C779" t="s">
        <v>74</v>
      </c>
      <c r="E779" t="str">
        <f>"080069702864"</f>
        <v>080069702864</v>
      </c>
      <c r="F779" s="3">
        <v>45996</v>
      </c>
      <c r="G779">
        <v>202609</v>
      </c>
      <c r="H779" t="s">
        <v>75</v>
      </c>
      <c r="I779" t="s">
        <v>76</v>
      </c>
      <c r="J779" t="s">
        <v>77</v>
      </c>
      <c r="K779" t="s">
        <v>78</v>
      </c>
      <c r="L779" t="s">
        <v>148</v>
      </c>
      <c r="M779" t="s">
        <v>149</v>
      </c>
      <c r="N779" t="s">
        <v>150</v>
      </c>
      <c r="O779" t="s">
        <v>89</v>
      </c>
      <c r="P779" t="str">
        <f>"4170072110                    "</f>
        <v xml:space="preserve">4170072110                    </v>
      </c>
      <c r="Q779">
        <v>0</v>
      </c>
      <c r="R779">
        <v>0</v>
      </c>
      <c r="S779">
        <v>0</v>
      </c>
      <c r="T779">
        <v>0</v>
      </c>
      <c r="U779">
        <v>0</v>
      </c>
      <c r="V779">
        <v>0</v>
      </c>
      <c r="W779">
        <v>0</v>
      </c>
      <c r="X779">
        <v>0</v>
      </c>
      <c r="Y779">
        <v>0</v>
      </c>
      <c r="Z779">
        <v>0</v>
      </c>
      <c r="AA779">
        <v>0</v>
      </c>
      <c r="AB779">
        <v>0</v>
      </c>
      <c r="AC779">
        <v>0</v>
      </c>
      <c r="AD779">
        <v>0</v>
      </c>
      <c r="AE779">
        <v>0</v>
      </c>
      <c r="AF779">
        <v>0</v>
      </c>
      <c r="AG779">
        <v>0</v>
      </c>
      <c r="AH779">
        <v>0</v>
      </c>
      <c r="AI779">
        <v>0</v>
      </c>
      <c r="AJ779">
        <v>0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49.45</v>
      </c>
      <c r="AR779">
        <v>0</v>
      </c>
      <c r="AS779">
        <v>0</v>
      </c>
      <c r="AT779">
        <v>0</v>
      </c>
      <c r="AU779">
        <v>0</v>
      </c>
      <c r="AV779">
        <v>0</v>
      </c>
      <c r="AW779">
        <v>0</v>
      </c>
      <c r="AX779">
        <v>0</v>
      </c>
      <c r="AY779">
        <v>0</v>
      </c>
      <c r="AZ779">
        <v>0</v>
      </c>
      <c r="BA779">
        <v>0</v>
      </c>
      <c r="BB779">
        <v>0</v>
      </c>
      <c r="BC779">
        <v>0</v>
      </c>
      <c r="BD779">
        <v>0</v>
      </c>
      <c r="BE779">
        <v>0</v>
      </c>
      <c r="BF779">
        <v>0</v>
      </c>
      <c r="BG779">
        <v>0</v>
      </c>
      <c r="BH779">
        <v>1</v>
      </c>
      <c r="BI779">
        <v>1</v>
      </c>
      <c r="BJ779">
        <v>0.2</v>
      </c>
      <c r="BK779">
        <v>1</v>
      </c>
      <c r="BL779">
        <v>147.38</v>
      </c>
      <c r="BM779">
        <v>22.11</v>
      </c>
      <c r="BN779">
        <v>169.49</v>
      </c>
      <c r="BO779">
        <v>169.49</v>
      </c>
      <c r="BQ779" t="s">
        <v>1550</v>
      </c>
      <c r="BR779" t="s">
        <v>82</v>
      </c>
      <c r="BS779" s="3">
        <v>45999</v>
      </c>
      <c r="BT779" s="4">
        <v>0.51458333333333328</v>
      </c>
      <c r="BU779" t="s">
        <v>152</v>
      </c>
      <c r="BV779" t="s">
        <v>84</v>
      </c>
      <c r="BY779">
        <v>1200</v>
      </c>
      <c r="CA779" t="s">
        <v>155</v>
      </c>
      <c r="CC779" t="s">
        <v>149</v>
      </c>
      <c r="CD779">
        <v>7299</v>
      </c>
      <c r="CE779" t="s">
        <v>134</v>
      </c>
      <c r="CF779" s="3">
        <v>46000</v>
      </c>
      <c r="CI779">
        <v>1</v>
      </c>
      <c r="CJ779">
        <v>1</v>
      </c>
      <c r="CK779">
        <v>23</v>
      </c>
      <c r="CL779" t="s">
        <v>87</v>
      </c>
    </row>
    <row r="780" spans="1:90" x14ac:dyDescent="0.3">
      <c r="A780" t="s">
        <v>72</v>
      </c>
      <c r="B780" t="s">
        <v>73</v>
      </c>
      <c r="C780" t="s">
        <v>74</v>
      </c>
      <c r="E780" t="str">
        <f>"080069702883"</f>
        <v>080069702883</v>
      </c>
      <c r="F780" s="3">
        <v>45996</v>
      </c>
      <c r="G780">
        <v>202609</v>
      </c>
      <c r="H780" t="s">
        <v>75</v>
      </c>
      <c r="I780" t="s">
        <v>76</v>
      </c>
      <c r="J780" t="s">
        <v>77</v>
      </c>
      <c r="K780" t="s">
        <v>78</v>
      </c>
      <c r="L780" t="s">
        <v>208</v>
      </c>
      <c r="M780" t="s">
        <v>209</v>
      </c>
      <c r="N780" t="s">
        <v>1174</v>
      </c>
      <c r="O780" t="s">
        <v>89</v>
      </c>
      <c r="P780" t="str">
        <f>"4170072097                    "</f>
        <v xml:space="preserve">4170072097                    </v>
      </c>
      <c r="Q780">
        <v>0</v>
      </c>
      <c r="R780">
        <v>0</v>
      </c>
      <c r="S780">
        <v>0</v>
      </c>
      <c r="T780">
        <v>0</v>
      </c>
      <c r="U780">
        <v>0</v>
      </c>
      <c r="V780">
        <v>0</v>
      </c>
      <c r="W780">
        <v>0</v>
      </c>
      <c r="X780">
        <v>0</v>
      </c>
      <c r="Y780">
        <v>0</v>
      </c>
      <c r="Z780">
        <v>0</v>
      </c>
      <c r="AA780">
        <v>0</v>
      </c>
      <c r="AB780">
        <v>0</v>
      </c>
      <c r="AC780">
        <v>0</v>
      </c>
      <c r="AD780">
        <v>0</v>
      </c>
      <c r="AE780">
        <v>0</v>
      </c>
      <c r="AF780">
        <v>0</v>
      </c>
      <c r="AG780">
        <v>0</v>
      </c>
      <c r="AH780">
        <v>0</v>
      </c>
      <c r="AI780">
        <v>0</v>
      </c>
      <c r="AJ780">
        <v>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25.52</v>
      </c>
      <c r="AR780">
        <v>0</v>
      </c>
      <c r="AS780">
        <v>0</v>
      </c>
      <c r="AT780">
        <v>0</v>
      </c>
      <c r="AU780">
        <v>0</v>
      </c>
      <c r="AV780">
        <v>0</v>
      </c>
      <c r="AW780">
        <v>0</v>
      </c>
      <c r="AX780">
        <v>0</v>
      </c>
      <c r="AY780">
        <v>0</v>
      </c>
      <c r="AZ780">
        <v>0</v>
      </c>
      <c r="BA780">
        <v>0</v>
      </c>
      <c r="BB780">
        <v>0</v>
      </c>
      <c r="BC780">
        <v>0</v>
      </c>
      <c r="BD780">
        <v>0</v>
      </c>
      <c r="BE780">
        <v>0</v>
      </c>
      <c r="BF780">
        <v>0</v>
      </c>
      <c r="BG780">
        <v>0</v>
      </c>
      <c r="BH780">
        <v>1</v>
      </c>
      <c r="BI780">
        <v>1</v>
      </c>
      <c r="BJ780">
        <v>0.2</v>
      </c>
      <c r="BK780">
        <v>1</v>
      </c>
      <c r="BL780">
        <v>76.06</v>
      </c>
      <c r="BM780">
        <v>11.41</v>
      </c>
      <c r="BN780">
        <v>87.47</v>
      </c>
      <c r="BO780">
        <v>87.47</v>
      </c>
      <c r="BQ780" t="s">
        <v>1175</v>
      </c>
      <c r="BR780" t="s">
        <v>82</v>
      </c>
      <c r="BS780" s="3">
        <v>45999</v>
      </c>
      <c r="BT780" s="4">
        <v>0.59305555555555556</v>
      </c>
      <c r="BU780" t="s">
        <v>1551</v>
      </c>
      <c r="BV780" t="s">
        <v>87</v>
      </c>
      <c r="BW780" t="s">
        <v>174</v>
      </c>
      <c r="BX780" t="s">
        <v>1552</v>
      </c>
      <c r="BY780">
        <v>1200</v>
      </c>
      <c r="CA780">
        <v>8203305410088</v>
      </c>
      <c r="CC780" t="s">
        <v>209</v>
      </c>
      <c r="CD780" s="5" t="s">
        <v>213</v>
      </c>
      <c r="CE780" t="s">
        <v>134</v>
      </c>
      <c r="CF780" s="3">
        <v>46000</v>
      </c>
      <c r="CI780">
        <v>1</v>
      </c>
      <c r="CJ780">
        <v>1</v>
      </c>
      <c r="CK780">
        <v>21</v>
      </c>
      <c r="CL780" t="s">
        <v>87</v>
      </c>
    </row>
    <row r="781" spans="1:90" x14ac:dyDescent="0.3">
      <c r="A781" t="s">
        <v>72</v>
      </c>
      <c r="B781" t="s">
        <v>73</v>
      </c>
      <c r="C781" t="s">
        <v>74</v>
      </c>
      <c r="E781" t="str">
        <f>"080069702882"</f>
        <v>080069702882</v>
      </c>
      <c r="F781" s="3">
        <v>45996</v>
      </c>
      <c r="G781">
        <v>202609</v>
      </c>
      <c r="H781" t="s">
        <v>75</v>
      </c>
      <c r="I781" t="s">
        <v>76</v>
      </c>
      <c r="J781" t="s">
        <v>77</v>
      </c>
      <c r="K781" t="s">
        <v>78</v>
      </c>
      <c r="L781" t="s">
        <v>535</v>
      </c>
      <c r="M781" t="s">
        <v>535</v>
      </c>
      <c r="N781" t="s">
        <v>772</v>
      </c>
      <c r="O781" t="s">
        <v>89</v>
      </c>
      <c r="P781" t="str">
        <f>"4170072139                    "</f>
        <v xml:space="preserve">4170072139                    </v>
      </c>
      <c r="Q781">
        <v>0</v>
      </c>
      <c r="R781">
        <v>0</v>
      </c>
      <c r="S781">
        <v>0</v>
      </c>
      <c r="T781">
        <v>0</v>
      </c>
      <c r="U781">
        <v>0</v>
      </c>
      <c r="V781">
        <v>0</v>
      </c>
      <c r="W781">
        <v>0</v>
      </c>
      <c r="X781">
        <v>0</v>
      </c>
      <c r="Y781">
        <v>0</v>
      </c>
      <c r="Z781">
        <v>0</v>
      </c>
      <c r="AA781">
        <v>0</v>
      </c>
      <c r="AB781">
        <v>0</v>
      </c>
      <c r="AC781">
        <v>0</v>
      </c>
      <c r="AD781">
        <v>0</v>
      </c>
      <c r="AE781">
        <v>0</v>
      </c>
      <c r="AF781">
        <v>0</v>
      </c>
      <c r="AG781">
        <v>0</v>
      </c>
      <c r="AH781">
        <v>0</v>
      </c>
      <c r="AI781">
        <v>0</v>
      </c>
      <c r="AJ781">
        <v>0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306.26</v>
      </c>
      <c r="AR781">
        <v>0</v>
      </c>
      <c r="AS781">
        <v>0</v>
      </c>
      <c r="AT781">
        <v>0</v>
      </c>
      <c r="AU781">
        <v>0</v>
      </c>
      <c r="AV781">
        <v>0</v>
      </c>
      <c r="AW781">
        <v>0</v>
      </c>
      <c r="AX781">
        <v>0</v>
      </c>
      <c r="AY781">
        <v>0</v>
      </c>
      <c r="AZ781">
        <v>0</v>
      </c>
      <c r="BA781">
        <v>0</v>
      </c>
      <c r="BB781">
        <v>0</v>
      </c>
      <c r="BC781">
        <v>0</v>
      </c>
      <c r="BD781">
        <v>0</v>
      </c>
      <c r="BE781">
        <v>0</v>
      </c>
      <c r="BF781">
        <v>0</v>
      </c>
      <c r="BG781">
        <v>0</v>
      </c>
      <c r="BH781">
        <v>2</v>
      </c>
      <c r="BI781">
        <v>5.6</v>
      </c>
      <c r="BJ781">
        <v>13.4</v>
      </c>
      <c r="BK781">
        <v>13.5</v>
      </c>
      <c r="BL781">
        <v>912.72</v>
      </c>
      <c r="BM781">
        <v>136.91</v>
      </c>
      <c r="BN781">
        <v>1049.6300000000001</v>
      </c>
      <c r="BO781">
        <v>1049.6300000000001</v>
      </c>
      <c r="BQ781" t="s">
        <v>773</v>
      </c>
      <c r="BR781" t="s">
        <v>82</v>
      </c>
      <c r="BS781" s="3">
        <v>45999</v>
      </c>
      <c r="BT781" s="4">
        <v>0.53680555555555554</v>
      </c>
      <c r="BU781" t="s">
        <v>984</v>
      </c>
      <c r="BV781" t="s">
        <v>84</v>
      </c>
      <c r="BY781">
        <v>66760</v>
      </c>
      <c r="CA781" t="s">
        <v>539</v>
      </c>
      <c r="CC781" t="s">
        <v>535</v>
      </c>
      <c r="CD781">
        <v>7646</v>
      </c>
      <c r="CE781" t="s">
        <v>86</v>
      </c>
      <c r="CF781" s="3">
        <v>46000</v>
      </c>
      <c r="CI781">
        <v>1</v>
      </c>
      <c r="CJ781">
        <v>1</v>
      </c>
      <c r="CK781">
        <v>23</v>
      </c>
      <c r="CL781" t="s">
        <v>87</v>
      </c>
    </row>
    <row r="782" spans="1:90" x14ac:dyDescent="0.3">
      <c r="A782" t="s">
        <v>72</v>
      </c>
      <c r="B782" t="s">
        <v>73</v>
      </c>
      <c r="C782" t="s">
        <v>74</v>
      </c>
      <c r="E782" t="str">
        <f>"080069702917"</f>
        <v>080069702917</v>
      </c>
      <c r="F782" s="3">
        <v>45996</v>
      </c>
      <c r="G782">
        <v>202609</v>
      </c>
      <c r="H782" t="s">
        <v>75</v>
      </c>
      <c r="I782" t="s">
        <v>76</v>
      </c>
      <c r="J782" t="s">
        <v>77</v>
      </c>
      <c r="K782" t="s">
        <v>78</v>
      </c>
      <c r="L782" t="s">
        <v>141</v>
      </c>
      <c r="M782" t="s">
        <v>142</v>
      </c>
      <c r="N782" t="s">
        <v>868</v>
      </c>
      <c r="O782" t="s">
        <v>89</v>
      </c>
      <c r="P782" t="str">
        <f>"4170072092                    "</f>
        <v xml:space="preserve">4170072092                    </v>
      </c>
      <c r="Q782">
        <v>0</v>
      </c>
      <c r="R782">
        <v>0</v>
      </c>
      <c r="S782">
        <v>0</v>
      </c>
      <c r="T782">
        <v>0</v>
      </c>
      <c r="U782">
        <v>0</v>
      </c>
      <c r="V782">
        <v>0</v>
      </c>
      <c r="W782">
        <v>0</v>
      </c>
      <c r="X782">
        <v>0</v>
      </c>
      <c r="Y782">
        <v>0</v>
      </c>
      <c r="Z782">
        <v>0</v>
      </c>
      <c r="AA782">
        <v>0</v>
      </c>
      <c r="AB782">
        <v>0</v>
      </c>
      <c r="AC782">
        <v>0</v>
      </c>
      <c r="AD782">
        <v>0</v>
      </c>
      <c r="AE782">
        <v>0</v>
      </c>
      <c r="AF782">
        <v>0</v>
      </c>
      <c r="AG782">
        <v>0</v>
      </c>
      <c r="AH782">
        <v>0</v>
      </c>
      <c r="AI782">
        <v>0</v>
      </c>
      <c r="AJ782">
        <v>0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25.52</v>
      </c>
      <c r="AR782">
        <v>0</v>
      </c>
      <c r="AS782">
        <v>0</v>
      </c>
      <c r="AT782">
        <v>0</v>
      </c>
      <c r="AU782">
        <v>0</v>
      </c>
      <c r="AV782">
        <v>0</v>
      </c>
      <c r="AW782">
        <v>0</v>
      </c>
      <c r="AX782">
        <v>0</v>
      </c>
      <c r="AY782">
        <v>0</v>
      </c>
      <c r="AZ782">
        <v>0</v>
      </c>
      <c r="BA782">
        <v>0</v>
      </c>
      <c r="BB782">
        <v>0</v>
      </c>
      <c r="BC782">
        <v>0</v>
      </c>
      <c r="BD782">
        <v>0</v>
      </c>
      <c r="BE782">
        <v>0</v>
      </c>
      <c r="BF782">
        <v>0</v>
      </c>
      <c r="BG782">
        <v>0</v>
      </c>
      <c r="BH782">
        <v>1</v>
      </c>
      <c r="BI782">
        <v>1</v>
      </c>
      <c r="BJ782">
        <v>0.2</v>
      </c>
      <c r="BK782">
        <v>1</v>
      </c>
      <c r="BL782">
        <v>76.06</v>
      </c>
      <c r="BM782">
        <v>11.41</v>
      </c>
      <c r="BN782">
        <v>87.47</v>
      </c>
      <c r="BO782">
        <v>87.47</v>
      </c>
      <c r="BQ782" t="s">
        <v>869</v>
      </c>
      <c r="BR782" t="s">
        <v>82</v>
      </c>
      <c r="BS782" s="3">
        <v>45999</v>
      </c>
      <c r="BT782" s="4">
        <v>0.36388888888888887</v>
      </c>
      <c r="BU782" t="s">
        <v>1553</v>
      </c>
      <c r="BV782" t="s">
        <v>84</v>
      </c>
      <c r="BY782">
        <v>1200</v>
      </c>
      <c r="CA782" t="s">
        <v>571</v>
      </c>
      <c r="CC782" t="s">
        <v>142</v>
      </c>
      <c r="CD782">
        <v>6001</v>
      </c>
      <c r="CE782" t="s">
        <v>134</v>
      </c>
      <c r="CF782" s="3">
        <v>45999</v>
      </c>
      <c r="CI782">
        <v>1</v>
      </c>
      <c r="CJ782">
        <v>1</v>
      </c>
      <c r="CK782">
        <v>21</v>
      </c>
      <c r="CL782" t="s">
        <v>87</v>
      </c>
    </row>
    <row r="783" spans="1:90" x14ac:dyDescent="0.3">
      <c r="A783" t="s">
        <v>72</v>
      </c>
      <c r="B783" t="s">
        <v>73</v>
      </c>
      <c r="C783" t="s">
        <v>74</v>
      </c>
      <c r="E783" t="str">
        <f>"080069702924"</f>
        <v>080069702924</v>
      </c>
      <c r="F783" s="3">
        <v>45996</v>
      </c>
      <c r="G783">
        <v>202609</v>
      </c>
      <c r="H783" t="s">
        <v>75</v>
      </c>
      <c r="I783" t="s">
        <v>76</v>
      </c>
      <c r="J783" t="s">
        <v>77</v>
      </c>
      <c r="K783" t="s">
        <v>78</v>
      </c>
      <c r="L783" t="s">
        <v>100</v>
      </c>
      <c r="M783" t="s">
        <v>101</v>
      </c>
      <c r="N783" t="s">
        <v>1554</v>
      </c>
      <c r="O783" t="s">
        <v>89</v>
      </c>
      <c r="P783" t="str">
        <f>"4170072078                    "</f>
        <v xml:space="preserve">4170072078                    </v>
      </c>
      <c r="Q783">
        <v>0</v>
      </c>
      <c r="R783">
        <v>0</v>
      </c>
      <c r="S783">
        <v>0</v>
      </c>
      <c r="T783">
        <v>0</v>
      </c>
      <c r="U783">
        <v>0</v>
      </c>
      <c r="V783">
        <v>0</v>
      </c>
      <c r="W783">
        <v>0</v>
      </c>
      <c r="X783">
        <v>0</v>
      </c>
      <c r="Y783">
        <v>0</v>
      </c>
      <c r="Z783">
        <v>0</v>
      </c>
      <c r="AA783">
        <v>0</v>
      </c>
      <c r="AB783">
        <v>0</v>
      </c>
      <c r="AC783">
        <v>0</v>
      </c>
      <c r="AD783">
        <v>0</v>
      </c>
      <c r="AE783">
        <v>0</v>
      </c>
      <c r="AF783">
        <v>0</v>
      </c>
      <c r="AG783">
        <v>0</v>
      </c>
      <c r="AH783">
        <v>0</v>
      </c>
      <c r="AI783">
        <v>0</v>
      </c>
      <c r="AJ783">
        <v>0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89.3</v>
      </c>
      <c r="AR783">
        <v>0</v>
      </c>
      <c r="AS783">
        <v>0</v>
      </c>
      <c r="AT783">
        <v>0</v>
      </c>
      <c r="AU783">
        <v>0</v>
      </c>
      <c r="AV783">
        <v>0</v>
      </c>
      <c r="AW783">
        <v>0</v>
      </c>
      <c r="AX783">
        <v>0</v>
      </c>
      <c r="AY783">
        <v>0</v>
      </c>
      <c r="AZ783">
        <v>0</v>
      </c>
      <c r="BA783">
        <v>0</v>
      </c>
      <c r="BB783">
        <v>0</v>
      </c>
      <c r="BC783">
        <v>0</v>
      </c>
      <c r="BD783">
        <v>0</v>
      </c>
      <c r="BE783">
        <v>0</v>
      </c>
      <c r="BF783">
        <v>0</v>
      </c>
      <c r="BG783">
        <v>0</v>
      </c>
      <c r="BH783">
        <v>1</v>
      </c>
      <c r="BI783">
        <v>7</v>
      </c>
      <c r="BJ783">
        <v>5</v>
      </c>
      <c r="BK783">
        <v>7</v>
      </c>
      <c r="BL783">
        <v>266.14</v>
      </c>
      <c r="BM783">
        <v>39.92</v>
      </c>
      <c r="BN783">
        <v>306.06</v>
      </c>
      <c r="BO783">
        <v>306.06</v>
      </c>
      <c r="BQ783" t="s">
        <v>1555</v>
      </c>
      <c r="BR783" t="s">
        <v>82</v>
      </c>
      <c r="BS783" s="3">
        <v>45999</v>
      </c>
      <c r="BT783" s="4">
        <v>0.54374999999999996</v>
      </c>
      <c r="BU783" t="s">
        <v>1556</v>
      </c>
      <c r="BV783" t="s">
        <v>87</v>
      </c>
      <c r="BW783" t="s">
        <v>246</v>
      </c>
      <c r="BX783" t="s">
        <v>294</v>
      </c>
      <c r="BY783">
        <v>24882</v>
      </c>
      <c r="CA783" t="s">
        <v>1557</v>
      </c>
      <c r="CC783" t="s">
        <v>101</v>
      </c>
      <c r="CD783">
        <v>4001</v>
      </c>
      <c r="CE783" t="s">
        <v>86</v>
      </c>
      <c r="CF783" s="3">
        <v>45999</v>
      </c>
      <c r="CI783">
        <v>1</v>
      </c>
      <c r="CJ783">
        <v>1</v>
      </c>
      <c r="CK783">
        <v>21</v>
      </c>
      <c r="CL783" t="s">
        <v>87</v>
      </c>
    </row>
    <row r="784" spans="1:90" x14ac:dyDescent="0.3">
      <c r="A784" t="s">
        <v>72</v>
      </c>
      <c r="B784" t="s">
        <v>73</v>
      </c>
      <c r="C784" t="s">
        <v>74</v>
      </c>
      <c r="E784" t="str">
        <f>"080069702958"</f>
        <v>080069702958</v>
      </c>
      <c r="F784" s="3">
        <v>45996</v>
      </c>
      <c r="G784">
        <v>202609</v>
      </c>
      <c r="H784" t="s">
        <v>75</v>
      </c>
      <c r="I784" t="s">
        <v>76</v>
      </c>
      <c r="J784" t="s">
        <v>77</v>
      </c>
      <c r="K784" t="s">
        <v>78</v>
      </c>
      <c r="L784" t="s">
        <v>302</v>
      </c>
      <c r="M784" t="s">
        <v>303</v>
      </c>
      <c r="N784" t="s">
        <v>651</v>
      </c>
      <c r="O784" t="s">
        <v>89</v>
      </c>
      <c r="P784" t="str">
        <f>"4170072104                    "</f>
        <v xml:space="preserve">4170072104                    </v>
      </c>
      <c r="Q784">
        <v>0</v>
      </c>
      <c r="R784">
        <v>0</v>
      </c>
      <c r="S784">
        <v>0</v>
      </c>
      <c r="T784">
        <v>0</v>
      </c>
      <c r="U784">
        <v>0</v>
      </c>
      <c r="V784">
        <v>0</v>
      </c>
      <c r="W784">
        <v>0</v>
      </c>
      <c r="X784">
        <v>0</v>
      </c>
      <c r="Y784">
        <v>0</v>
      </c>
      <c r="Z784">
        <v>0</v>
      </c>
      <c r="AA784">
        <v>0</v>
      </c>
      <c r="AB784">
        <v>0</v>
      </c>
      <c r="AC784">
        <v>0</v>
      </c>
      <c r="AD784">
        <v>0</v>
      </c>
      <c r="AE784">
        <v>0</v>
      </c>
      <c r="AF784">
        <v>0</v>
      </c>
      <c r="AG784">
        <v>0</v>
      </c>
      <c r="AH784">
        <v>0</v>
      </c>
      <c r="AI784">
        <v>0</v>
      </c>
      <c r="AJ784">
        <v>0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25.52</v>
      </c>
      <c r="AR784">
        <v>0</v>
      </c>
      <c r="AS784">
        <v>0</v>
      </c>
      <c r="AT784">
        <v>0</v>
      </c>
      <c r="AU784">
        <v>0</v>
      </c>
      <c r="AV784">
        <v>0</v>
      </c>
      <c r="AW784">
        <v>0</v>
      </c>
      <c r="AX784">
        <v>0</v>
      </c>
      <c r="AY784">
        <v>0</v>
      </c>
      <c r="AZ784">
        <v>0</v>
      </c>
      <c r="BA784">
        <v>0</v>
      </c>
      <c r="BB784">
        <v>0</v>
      </c>
      <c r="BC784">
        <v>0</v>
      </c>
      <c r="BD784">
        <v>0</v>
      </c>
      <c r="BE784">
        <v>0</v>
      </c>
      <c r="BF784">
        <v>0</v>
      </c>
      <c r="BG784">
        <v>0</v>
      </c>
      <c r="BH784">
        <v>1</v>
      </c>
      <c r="BI784">
        <v>1</v>
      </c>
      <c r="BJ784">
        <v>0.2</v>
      </c>
      <c r="BK784">
        <v>1</v>
      </c>
      <c r="BL784">
        <v>76.06</v>
      </c>
      <c r="BM784">
        <v>11.41</v>
      </c>
      <c r="BN784">
        <v>87.47</v>
      </c>
      <c r="BO784">
        <v>87.47</v>
      </c>
      <c r="BQ784" t="s">
        <v>652</v>
      </c>
      <c r="BR784" t="s">
        <v>82</v>
      </c>
      <c r="BS784" s="3">
        <v>45999</v>
      </c>
      <c r="BT784" s="4">
        <v>0.37222222222222223</v>
      </c>
      <c r="BU784" t="s">
        <v>1558</v>
      </c>
      <c r="BV784" t="s">
        <v>84</v>
      </c>
      <c r="BY784">
        <v>1200</v>
      </c>
      <c r="CA784">
        <v>8303236124087</v>
      </c>
      <c r="CC784" t="s">
        <v>303</v>
      </c>
      <c r="CD784" s="5" t="s">
        <v>307</v>
      </c>
      <c r="CE784" t="s">
        <v>134</v>
      </c>
      <c r="CF784" s="3">
        <v>45999</v>
      </c>
      <c r="CI784">
        <v>1</v>
      </c>
      <c r="CJ784">
        <v>1</v>
      </c>
      <c r="CK784">
        <v>21</v>
      </c>
      <c r="CL784" t="s">
        <v>87</v>
      </c>
    </row>
    <row r="785" spans="1:90" x14ac:dyDescent="0.3">
      <c r="A785" t="s">
        <v>72</v>
      </c>
      <c r="B785" t="s">
        <v>73</v>
      </c>
      <c r="C785" t="s">
        <v>74</v>
      </c>
      <c r="E785" t="str">
        <f>"080069703046"</f>
        <v>080069703046</v>
      </c>
      <c r="F785" s="3">
        <v>45996</v>
      </c>
      <c r="G785">
        <v>202609</v>
      </c>
      <c r="H785" t="s">
        <v>75</v>
      </c>
      <c r="I785" t="s">
        <v>76</v>
      </c>
      <c r="J785" t="s">
        <v>77</v>
      </c>
      <c r="K785" t="s">
        <v>78</v>
      </c>
      <c r="L785" t="s">
        <v>141</v>
      </c>
      <c r="M785" t="s">
        <v>142</v>
      </c>
      <c r="N785" t="s">
        <v>587</v>
      </c>
      <c r="O785" t="s">
        <v>89</v>
      </c>
      <c r="P785" t="str">
        <f>"4170072073                    "</f>
        <v xml:space="preserve">4170072073                    </v>
      </c>
      <c r="Q785">
        <v>0</v>
      </c>
      <c r="R785">
        <v>0</v>
      </c>
      <c r="S785">
        <v>0</v>
      </c>
      <c r="T785">
        <v>0</v>
      </c>
      <c r="U785">
        <v>0</v>
      </c>
      <c r="V785">
        <v>0</v>
      </c>
      <c r="W785">
        <v>0</v>
      </c>
      <c r="X785">
        <v>0</v>
      </c>
      <c r="Y785">
        <v>0</v>
      </c>
      <c r="Z785">
        <v>0</v>
      </c>
      <c r="AA785">
        <v>0</v>
      </c>
      <c r="AB785">
        <v>0</v>
      </c>
      <c r="AC785">
        <v>0</v>
      </c>
      <c r="AD785">
        <v>0</v>
      </c>
      <c r="AE785">
        <v>0</v>
      </c>
      <c r="AF785">
        <v>0</v>
      </c>
      <c r="AG785">
        <v>0</v>
      </c>
      <c r="AH785">
        <v>0</v>
      </c>
      <c r="AI785">
        <v>0</v>
      </c>
      <c r="AJ785">
        <v>0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57.41</v>
      </c>
      <c r="AR785">
        <v>0</v>
      </c>
      <c r="AS785">
        <v>0</v>
      </c>
      <c r="AT785">
        <v>0</v>
      </c>
      <c r="AU785">
        <v>0</v>
      </c>
      <c r="AV785">
        <v>0</v>
      </c>
      <c r="AW785">
        <v>0</v>
      </c>
      <c r="AX785">
        <v>0</v>
      </c>
      <c r="AY785">
        <v>0</v>
      </c>
      <c r="AZ785">
        <v>0</v>
      </c>
      <c r="BA785">
        <v>0</v>
      </c>
      <c r="BB785">
        <v>0</v>
      </c>
      <c r="BC785">
        <v>0</v>
      </c>
      <c r="BD785">
        <v>0</v>
      </c>
      <c r="BE785">
        <v>0</v>
      </c>
      <c r="BF785">
        <v>0</v>
      </c>
      <c r="BG785">
        <v>0</v>
      </c>
      <c r="BH785">
        <v>1</v>
      </c>
      <c r="BI785">
        <v>2</v>
      </c>
      <c r="BJ785">
        <v>4.5</v>
      </c>
      <c r="BK785">
        <v>4.5</v>
      </c>
      <c r="BL785">
        <v>171.1</v>
      </c>
      <c r="BM785">
        <v>25.67</v>
      </c>
      <c r="BN785">
        <v>196.77</v>
      </c>
      <c r="BO785">
        <v>196.77</v>
      </c>
      <c r="BQ785" t="s">
        <v>588</v>
      </c>
      <c r="BR785" t="s">
        <v>82</v>
      </c>
      <c r="BS785" s="3">
        <v>45999</v>
      </c>
      <c r="BT785" s="4">
        <v>0.38194444444444442</v>
      </c>
      <c r="BU785" t="s">
        <v>589</v>
      </c>
      <c r="BV785" t="s">
        <v>84</v>
      </c>
      <c r="BY785">
        <v>22620</v>
      </c>
      <c r="CA785" t="s">
        <v>571</v>
      </c>
      <c r="CC785" t="s">
        <v>142</v>
      </c>
      <c r="CD785">
        <v>6001</v>
      </c>
      <c r="CE785" t="s">
        <v>86</v>
      </c>
      <c r="CF785" s="3">
        <v>45999</v>
      </c>
      <c r="CI785">
        <v>1</v>
      </c>
      <c r="CJ785">
        <v>1</v>
      </c>
      <c r="CK785">
        <v>21</v>
      </c>
      <c r="CL785" t="s">
        <v>87</v>
      </c>
    </row>
    <row r="786" spans="1:90" x14ac:dyDescent="0.3">
      <c r="A786" t="s">
        <v>72</v>
      </c>
      <c r="B786" t="s">
        <v>73</v>
      </c>
      <c r="C786" t="s">
        <v>74</v>
      </c>
      <c r="E786" t="str">
        <f>"080069703049"</f>
        <v>080069703049</v>
      </c>
      <c r="F786" s="3">
        <v>45996</v>
      </c>
      <c r="G786">
        <v>202609</v>
      </c>
      <c r="H786" t="s">
        <v>75</v>
      </c>
      <c r="I786" t="s">
        <v>76</v>
      </c>
      <c r="J786" t="s">
        <v>77</v>
      </c>
      <c r="K786" t="s">
        <v>78</v>
      </c>
      <c r="L786" t="s">
        <v>1559</v>
      </c>
      <c r="M786" t="s">
        <v>1560</v>
      </c>
      <c r="N786" t="s">
        <v>1561</v>
      </c>
      <c r="O786" t="s">
        <v>89</v>
      </c>
      <c r="P786" t="str">
        <f>"4170072145                    "</f>
        <v xml:space="preserve">4170072145                    </v>
      </c>
      <c r="Q786">
        <v>0</v>
      </c>
      <c r="R786">
        <v>0</v>
      </c>
      <c r="S786">
        <v>0</v>
      </c>
      <c r="T786">
        <v>0</v>
      </c>
      <c r="U786">
        <v>0</v>
      </c>
      <c r="V786">
        <v>0</v>
      </c>
      <c r="W786">
        <v>0</v>
      </c>
      <c r="X786">
        <v>0</v>
      </c>
      <c r="Y786">
        <v>0</v>
      </c>
      <c r="Z786">
        <v>0</v>
      </c>
      <c r="AA786">
        <v>0</v>
      </c>
      <c r="AB786">
        <v>0</v>
      </c>
      <c r="AC786">
        <v>0</v>
      </c>
      <c r="AD786">
        <v>0</v>
      </c>
      <c r="AE786">
        <v>0</v>
      </c>
      <c r="AF786">
        <v>0</v>
      </c>
      <c r="AG786">
        <v>0</v>
      </c>
      <c r="AH786">
        <v>0</v>
      </c>
      <c r="AI786">
        <v>0</v>
      </c>
      <c r="AJ786">
        <v>0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49.45</v>
      </c>
      <c r="AR786">
        <v>0</v>
      </c>
      <c r="AS786">
        <v>0</v>
      </c>
      <c r="AT786">
        <v>0</v>
      </c>
      <c r="AU786">
        <v>0</v>
      </c>
      <c r="AV786">
        <v>0</v>
      </c>
      <c r="AW786">
        <v>0</v>
      </c>
      <c r="AX786">
        <v>0</v>
      </c>
      <c r="AY786">
        <v>0</v>
      </c>
      <c r="AZ786">
        <v>0</v>
      </c>
      <c r="BA786">
        <v>0</v>
      </c>
      <c r="BB786">
        <v>0</v>
      </c>
      <c r="BC786">
        <v>0</v>
      </c>
      <c r="BD786">
        <v>0</v>
      </c>
      <c r="BE786">
        <v>0</v>
      </c>
      <c r="BF786">
        <v>0</v>
      </c>
      <c r="BG786">
        <v>0</v>
      </c>
      <c r="BH786">
        <v>1</v>
      </c>
      <c r="BI786">
        <v>1</v>
      </c>
      <c r="BJ786">
        <v>0.2</v>
      </c>
      <c r="BK786">
        <v>1</v>
      </c>
      <c r="BL786">
        <v>147.38</v>
      </c>
      <c r="BM786">
        <v>22.11</v>
      </c>
      <c r="BN786">
        <v>169.49</v>
      </c>
      <c r="BO786">
        <v>169.49</v>
      </c>
      <c r="BQ786" t="s">
        <v>1562</v>
      </c>
      <c r="BR786" t="s">
        <v>82</v>
      </c>
      <c r="BS786" s="3">
        <v>46000</v>
      </c>
      <c r="BT786" s="4">
        <v>0.61458333333333337</v>
      </c>
      <c r="BU786" t="s">
        <v>1563</v>
      </c>
      <c r="BV786" t="s">
        <v>84</v>
      </c>
      <c r="BY786">
        <v>1200</v>
      </c>
      <c r="CA786">
        <v>7611055191081</v>
      </c>
      <c r="CC786" t="s">
        <v>1560</v>
      </c>
      <c r="CD786">
        <v>7380</v>
      </c>
      <c r="CE786" t="s">
        <v>134</v>
      </c>
      <c r="CF786" s="3">
        <v>46001</v>
      </c>
      <c r="CI786">
        <v>5</v>
      </c>
      <c r="CJ786">
        <v>2</v>
      </c>
      <c r="CK786">
        <v>23</v>
      </c>
      <c r="CL786" t="s">
        <v>87</v>
      </c>
    </row>
    <row r="787" spans="1:90" x14ac:dyDescent="0.3">
      <c r="A787" t="s">
        <v>72</v>
      </c>
      <c r="B787" t="s">
        <v>73</v>
      </c>
      <c r="C787" t="s">
        <v>74</v>
      </c>
      <c r="E787" t="str">
        <f>"080069703070"</f>
        <v>080069703070</v>
      </c>
      <c r="F787" s="3">
        <v>45996</v>
      </c>
      <c r="G787">
        <v>202609</v>
      </c>
      <c r="H787" t="s">
        <v>75</v>
      </c>
      <c r="I787" t="s">
        <v>76</v>
      </c>
      <c r="J787" t="s">
        <v>77</v>
      </c>
      <c r="K787" t="s">
        <v>78</v>
      </c>
      <c r="L787" t="s">
        <v>100</v>
      </c>
      <c r="M787" t="s">
        <v>101</v>
      </c>
      <c r="N787" t="s">
        <v>166</v>
      </c>
      <c r="O787" t="s">
        <v>89</v>
      </c>
      <c r="P787" t="str">
        <f>"4170072216                    "</f>
        <v xml:space="preserve">4170072216                    </v>
      </c>
      <c r="Q787">
        <v>0</v>
      </c>
      <c r="R787">
        <v>0</v>
      </c>
      <c r="S787">
        <v>0</v>
      </c>
      <c r="T787">
        <v>0</v>
      </c>
      <c r="U787">
        <v>0</v>
      </c>
      <c r="V787">
        <v>0</v>
      </c>
      <c r="W787">
        <v>0</v>
      </c>
      <c r="X787">
        <v>0</v>
      </c>
      <c r="Y787">
        <v>0</v>
      </c>
      <c r="Z787">
        <v>0</v>
      </c>
      <c r="AA787">
        <v>0</v>
      </c>
      <c r="AB787">
        <v>0</v>
      </c>
      <c r="AC787">
        <v>0</v>
      </c>
      <c r="AD787">
        <v>0</v>
      </c>
      <c r="AE787">
        <v>0</v>
      </c>
      <c r="AF787">
        <v>0</v>
      </c>
      <c r="AG787">
        <v>0</v>
      </c>
      <c r="AH787">
        <v>0</v>
      </c>
      <c r="AI787">
        <v>0</v>
      </c>
      <c r="AJ787">
        <v>0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25.52</v>
      </c>
      <c r="AR787">
        <v>0</v>
      </c>
      <c r="AS787">
        <v>0</v>
      </c>
      <c r="AT787">
        <v>0</v>
      </c>
      <c r="AU787">
        <v>0</v>
      </c>
      <c r="AV787">
        <v>0</v>
      </c>
      <c r="AW787">
        <v>0</v>
      </c>
      <c r="AX787">
        <v>0</v>
      </c>
      <c r="AY787">
        <v>0</v>
      </c>
      <c r="AZ787">
        <v>0</v>
      </c>
      <c r="BA787">
        <v>0</v>
      </c>
      <c r="BB787">
        <v>0</v>
      </c>
      <c r="BC787">
        <v>0</v>
      </c>
      <c r="BD787">
        <v>0</v>
      </c>
      <c r="BE787">
        <v>0</v>
      </c>
      <c r="BF787">
        <v>0</v>
      </c>
      <c r="BG787">
        <v>0</v>
      </c>
      <c r="BH787">
        <v>1</v>
      </c>
      <c r="BI787">
        <v>1</v>
      </c>
      <c r="BJ787">
        <v>0.2</v>
      </c>
      <c r="BK787">
        <v>1</v>
      </c>
      <c r="BL787">
        <v>76.06</v>
      </c>
      <c r="BM787">
        <v>11.41</v>
      </c>
      <c r="BN787">
        <v>87.47</v>
      </c>
      <c r="BO787">
        <v>87.47</v>
      </c>
      <c r="BQ787" t="s">
        <v>167</v>
      </c>
      <c r="BR787" t="s">
        <v>82</v>
      </c>
      <c r="BS787" s="3">
        <v>45999</v>
      </c>
      <c r="BT787" s="4">
        <v>0.36736111111111114</v>
      </c>
      <c r="BU787" t="s">
        <v>1564</v>
      </c>
      <c r="BV787" t="s">
        <v>84</v>
      </c>
      <c r="BY787">
        <v>1200</v>
      </c>
      <c r="CA787" t="s">
        <v>1545</v>
      </c>
      <c r="CC787" t="s">
        <v>101</v>
      </c>
      <c r="CD787">
        <v>4000</v>
      </c>
      <c r="CE787" t="s">
        <v>134</v>
      </c>
      <c r="CF787" s="3">
        <v>45999</v>
      </c>
      <c r="CI787">
        <v>1</v>
      </c>
      <c r="CJ787">
        <v>1</v>
      </c>
      <c r="CK787">
        <v>21</v>
      </c>
      <c r="CL787" t="s">
        <v>87</v>
      </c>
    </row>
    <row r="788" spans="1:90" x14ac:dyDescent="0.3">
      <c r="A788" t="s">
        <v>72</v>
      </c>
      <c r="B788" t="s">
        <v>73</v>
      </c>
      <c r="C788" t="s">
        <v>74</v>
      </c>
      <c r="E788" t="str">
        <f>"080069703073"</f>
        <v>080069703073</v>
      </c>
      <c r="F788" s="3">
        <v>45996</v>
      </c>
      <c r="G788">
        <v>202609</v>
      </c>
      <c r="H788" t="s">
        <v>75</v>
      </c>
      <c r="I788" t="s">
        <v>76</v>
      </c>
      <c r="J788" t="s">
        <v>77</v>
      </c>
      <c r="K788" t="s">
        <v>78</v>
      </c>
      <c r="L788" t="s">
        <v>208</v>
      </c>
      <c r="M788" t="s">
        <v>209</v>
      </c>
      <c r="N788" t="s">
        <v>210</v>
      </c>
      <c r="O788" t="s">
        <v>80</v>
      </c>
      <c r="P788" t="str">
        <f>"4170072083                    "</f>
        <v xml:space="preserve">4170072083                    </v>
      </c>
      <c r="Q788">
        <v>0</v>
      </c>
      <c r="R788">
        <v>0</v>
      </c>
      <c r="S788">
        <v>0</v>
      </c>
      <c r="T788">
        <v>0</v>
      </c>
      <c r="U788">
        <v>0</v>
      </c>
      <c r="V788">
        <v>0</v>
      </c>
      <c r="W788">
        <v>0</v>
      </c>
      <c r="X788">
        <v>0</v>
      </c>
      <c r="Y788">
        <v>0</v>
      </c>
      <c r="Z788">
        <v>0</v>
      </c>
      <c r="AA788">
        <v>0</v>
      </c>
      <c r="AB788">
        <v>0</v>
      </c>
      <c r="AC788">
        <v>0</v>
      </c>
      <c r="AD788">
        <v>0</v>
      </c>
      <c r="AE788">
        <v>0</v>
      </c>
      <c r="AF788">
        <v>0</v>
      </c>
      <c r="AG788">
        <v>0</v>
      </c>
      <c r="AH788">
        <v>0</v>
      </c>
      <c r="AI788">
        <v>0</v>
      </c>
      <c r="AJ788">
        <v>0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49.36</v>
      </c>
      <c r="AR788">
        <v>0</v>
      </c>
      <c r="AS788">
        <v>0</v>
      </c>
      <c r="AT788">
        <v>0</v>
      </c>
      <c r="AU788">
        <v>0</v>
      </c>
      <c r="AV788">
        <v>0</v>
      </c>
      <c r="AW788">
        <v>0</v>
      </c>
      <c r="AX788">
        <v>0</v>
      </c>
      <c r="AY788">
        <v>0</v>
      </c>
      <c r="AZ788">
        <v>0</v>
      </c>
      <c r="BA788">
        <v>0</v>
      </c>
      <c r="BB788">
        <v>0</v>
      </c>
      <c r="BC788">
        <v>0</v>
      </c>
      <c r="BD788">
        <v>0</v>
      </c>
      <c r="BE788">
        <v>0</v>
      </c>
      <c r="BF788">
        <v>0</v>
      </c>
      <c r="BG788">
        <v>0</v>
      </c>
      <c r="BH788">
        <v>1</v>
      </c>
      <c r="BI788">
        <v>5.9</v>
      </c>
      <c r="BJ788">
        <v>3.2</v>
      </c>
      <c r="BK788">
        <v>6</v>
      </c>
      <c r="BL788">
        <v>153.19999999999999</v>
      </c>
      <c r="BM788">
        <v>22.98</v>
      </c>
      <c r="BN788">
        <v>176.18</v>
      </c>
      <c r="BO788">
        <v>176.18</v>
      </c>
      <c r="BQ788" t="s">
        <v>211</v>
      </c>
      <c r="BR788" t="s">
        <v>82</v>
      </c>
      <c r="BS788" s="3">
        <v>45999</v>
      </c>
      <c r="BT788" s="4">
        <v>0.63541666666666663</v>
      </c>
      <c r="BU788" t="s">
        <v>212</v>
      </c>
      <c r="BV788" t="s">
        <v>84</v>
      </c>
      <c r="BY788">
        <v>16163.68</v>
      </c>
      <c r="CA788">
        <v>8203305410088</v>
      </c>
      <c r="CC788" t="s">
        <v>209</v>
      </c>
      <c r="CD788" s="5" t="s">
        <v>213</v>
      </c>
      <c r="CE788" t="s">
        <v>86</v>
      </c>
      <c r="CF788" s="3">
        <v>46000</v>
      </c>
      <c r="CI788">
        <v>1</v>
      </c>
      <c r="CJ788">
        <v>1</v>
      </c>
      <c r="CK788">
        <v>41</v>
      </c>
      <c r="CL788" t="s">
        <v>87</v>
      </c>
    </row>
    <row r="789" spans="1:90" x14ac:dyDescent="0.3">
      <c r="A789" t="s">
        <v>72</v>
      </c>
      <c r="B789" t="s">
        <v>73</v>
      </c>
      <c r="C789" t="s">
        <v>74</v>
      </c>
      <c r="E789" t="str">
        <f>"080069703105"</f>
        <v>080069703105</v>
      </c>
      <c r="F789" s="3">
        <v>45996</v>
      </c>
      <c r="G789">
        <v>202609</v>
      </c>
      <c r="H789" t="s">
        <v>75</v>
      </c>
      <c r="I789" t="s">
        <v>76</v>
      </c>
      <c r="J789" t="s">
        <v>77</v>
      </c>
      <c r="K789" t="s">
        <v>78</v>
      </c>
      <c r="L789" t="s">
        <v>1565</v>
      </c>
      <c r="M789" t="s">
        <v>1566</v>
      </c>
      <c r="N789" t="s">
        <v>1567</v>
      </c>
      <c r="O789" t="s">
        <v>89</v>
      </c>
      <c r="P789" t="str">
        <f>"4170072132                    "</f>
        <v xml:space="preserve">4170072132                    </v>
      </c>
      <c r="Q789">
        <v>0</v>
      </c>
      <c r="R789">
        <v>0</v>
      </c>
      <c r="S789">
        <v>0</v>
      </c>
      <c r="T789">
        <v>0</v>
      </c>
      <c r="U789">
        <v>0</v>
      </c>
      <c r="V789">
        <v>0</v>
      </c>
      <c r="W789">
        <v>0</v>
      </c>
      <c r="X789">
        <v>0</v>
      </c>
      <c r="Y789">
        <v>0</v>
      </c>
      <c r="Z789">
        <v>0</v>
      </c>
      <c r="AA789">
        <v>0</v>
      </c>
      <c r="AB789">
        <v>0</v>
      </c>
      <c r="AC789">
        <v>0</v>
      </c>
      <c r="AD789">
        <v>0</v>
      </c>
      <c r="AE789">
        <v>0</v>
      </c>
      <c r="AF789">
        <v>0</v>
      </c>
      <c r="AG789">
        <v>0</v>
      </c>
      <c r="AH789">
        <v>0</v>
      </c>
      <c r="AI789">
        <v>0</v>
      </c>
      <c r="AJ789">
        <v>0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60.62</v>
      </c>
      <c r="AR789">
        <v>0</v>
      </c>
      <c r="AS789">
        <v>0</v>
      </c>
      <c r="AT789">
        <v>0</v>
      </c>
      <c r="AU789">
        <v>0</v>
      </c>
      <c r="AV789">
        <v>0</v>
      </c>
      <c r="AW789">
        <v>0</v>
      </c>
      <c r="AX789">
        <v>0</v>
      </c>
      <c r="AY789">
        <v>0</v>
      </c>
      <c r="AZ789">
        <v>0</v>
      </c>
      <c r="BA789">
        <v>0</v>
      </c>
      <c r="BB789">
        <v>0</v>
      </c>
      <c r="BC789">
        <v>0</v>
      </c>
      <c r="BD789">
        <v>0</v>
      </c>
      <c r="BE789">
        <v>0</v>
      </c>
      <c r="BF789">
        <v>0</v>
      </c>
      <c r="BG789">
        <v>0</v>
      </c>
      <c r="BH789">
        <v>1</v>
      </c>
      <c r="BI789">
        <v>1</v>
      </c>
      <c r="BJ789">
        <v>2.5</v>
      </c>
      <c r="BK789">
        <v>2.5</v>
      </c>
      <c r="BL789">
        <v>180.66</v>
      </c>
      <c r="BM789">
        <v>27.1</v>
      </c>
      <c r="BN789">
        <v>207.76</v>
      </c>
      <c r="BO789">
        <v>207.76</v>
      </c>
      <c r="BQ789" t="s">
        <v>1568</v>
      </c>
      <c r="BR789" t="s">
        <v>82</v>
      </c>
      <c r="BS789" s="3">
        <v>45999</v>
      </c>
      <c r="BT789" s="4">
        <v>0.55486111111111114</v>
      </c>
      <c r="BU789" t="s">
        <v>1569</v>
      </c>
      <c r="BV789" t="s">
        <v>84</v>
      </c>
      <c r="BY789">
        <v>12654</v>
      </c>
      <c r="BZ789" t="s">
        <v>35</v>
      </c>
      <c r="CA789" t="s">
        <v>1570</v>
      </c>
      <c r="CC789" t="s">
        <v>1566</v>
      </c>
      <c r="CD789">
        <v>3236</v>
      </c>
      <c r="CE789" t="s">
        <v>93</v>
      </c>
      <c r="CF789" s="3">
        <v>46000</v>
      </c>
      <c r="CI789">
        <v>5</v>
      </c>
      <c r="CJ789">
        <v>1</v>
      </c>
      <c r="CK789">
        <v>23</v>
      </c>
      <c r="CL789" t="s">
        <v>87</v>
      </c>
    </row>
    <row r="790" spans="1:90" x14ac:dyDescent="0.3">
      <c r="A790" t="s">
        <v>72</v>
      </c>
      <c r="B790" t="s">
        <v>73</v>
      </c>
      <c r="C790" t="s">
        <v>74</v>
      </c>
      <c r="E790" t="str">
        <f>"080069703152"</f>
        <v>080069703152</v>
      </c>
      <c r="F790" s="3">
        <v>45996</v>
      </c>
      <c r="G790">
        <v>202609</v>
      </c>
      <c r="H790" t="s">
        <v>75</v>
      </c>
      <c r="I790" t="s">
        <v>76</v>
      </c>
      <c r="J790" t="s">
        <v>77</v>
      </c>
      <c r="K790" t="s">
        <v>78</v>
      </c>
      <c r="L790" t="s">
        <v>156</v>
      </c>
      <c r="M790" t="s">
        <v>157</v>
      </c>
      <c r="N790" t="s">
        <v>261</v>
      </c>
      <c r="O790" t="s">
        <v>89</v>
      </c>
      <c r="P790" t="str">
        <f>"4170072248                    "</f>
        <v xml:space="preserve">4170072248                    </v>
      </c>
      <c r="Q790">
        <v>0</v>
      </c>
      <c r="R790">
        <v>0</v>
      </c>
      <c r="S790">
        <v>0</v>
      </c>
      <c r="T790">
        <v>0</v>
      </c>
      <c r="U790">
        <v>0</v>
      </c>
      <c r="V790">
        <v>0</v>
      </c>
      <c r="W790">
        <v>0</v>
      </c>
      <c r="X790">
        <v>0</v>
      </c>
      <c r="Y790">
        <v>0</v>
      </c>
      <c r="Z790">
        <v>0</v>
      </c>
      <c r="AA790">
        <v>0</v>
      </c>
      <c r="AB790">
        <v>0</v>
      </c>
      <c r="AC790">
        <v>0</v>
      </c>
      <c r="AD790">
        <v>0</v>
      </c>
      <c r="AE790">
        <v>0</v>
      </c>
      <c r="AF790">
        <v>0</v>
      </c>
      <c r="AG790">
        <v>0</v>
      </c>
      <c r="AH790">
        <v>0</v>
      </c>
      <c r="AI790">
        <v>0</v>
      </c>
      <c r="AJ790">
        <v>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140.33000000000001</v>
      </c>
      <c r="AR790">
        <v>0</v>
      </c>
      <c r="AS790">
        <v>0</v>
      </c>
      <c r="AT790">
        <v>0</v>
      </c>
      <c r="AU790">
        <v>0</v>
      </c>
      <c r="AV790">
        <v>0</v>
      </c>
      <c r="AW790">
        <v>0</v>
      </c>
      <c r="AX790">
        <v>0</v>
      </c>
      <c r="AY790">
        <v>0</v>
      </c>
      <c r="AZ790">
        <v>0</v>
      </c>
      <c r="BA790">
        <v>0</v>
      </c>
      <c r="BB790">
        <v>0</v>
      </c>
      <c r="BC790">
        <v>0</v>
      </c>
      <c r="BD790">
        <v>0</v>
      </c>
      <c r="BE790">
        <v>0</v>
      </c>
      <c r="BF790">
        <v>0</v>
      </c>
      <c r="BG790">
        <v>0</v>
      </c>
      <c r="BH790">
        <v>1</v>
      </c>
      <c r="BI790">
        <v>11</v>
      </c>
      <c r="BJ790">
        <v>6.8</v>
      </c>
      <c r="BK790">
        <v>11</v>
      </c>
      <c r="BL790">
        <v>418.21</v>
      </c>
      <c r="BM790">
        <v>62.73</v>
      </c>
      <c r="BN790">
        <v>480.94</v>
      </c>
      <c r="BO790">
        <v>480.94</v>
      </c>
      <c r="BQ790" t="s">
        <v>262</v>
      </c>
      <c r="BR790" t="s">
        <v>82</v>
      </c>
      <c r="BS790" s="3">
        <v>45999</v>
      </c>
      <c r="BT790" s="4">
        <v>0.42986111111111114</v>
      </c>
      <c r="BU790" t="s">
        <v>832</v>
      </c>
      <c r="BV790" t="s">
        <v>84</v>
      </c>
      <c r="BY790">
        <v>33880</v>
      </c>
      <c r="CA790" t="s">
        <v>833</v>
      </c>
      <c r="CC790" t="s">
        <v>157</v>
      </c>
      <c r="CD790">
        <v>7441</v>
      </c>
      <c r="CE790" t="s">
        <v>93</v>
      </c>
      <c r="CF790" s="3">
        <v>46000</v>
      </c>
      <c r="CI790">
        <v>1</v>
      </c>
      <c r="CJ790">
        <v>1</v>
      </c>
      <c r="CK790">
        <v>21</v>
      </c>
      <c r="CL790" t="s">
        <v>87</v>
      </c>
    </row>
    <row r="791" spans="1:90" x14ac:dyDescent="0.3">
      <c r="A791" t="s">
        <v>72</v>
      </c>
      <c r="B791" t="s">
        <v>73</v>
      </c>
      <c r="C791" t="s">
        <v>74</v>
      </c>
      <c r="E791" t="str">
        <f>"080069703310"</f>
        <v>080069703310</v>
      </c>
      <c r="F791" s="3">
        <v>45996</v>
      </c>
      <c r="G791">
        <v>202609</v>
      </c>
      <c r="H791" t="s">
        <v>75</v>
      </c>
      <c r="I791" t="s">
        <v>76</v>
      </c>
      <c r="J791" t="s">
        <v>77</v>
      </c>
      <c r="K791" t="s">
        <v>78</v>
      </c>
      <c r="L791" t="s">
        <v>156</v>
      </c>
      <c r="M791" t="s">
        <v>157</v>
      </c>
      <c r="N791" t="s">
        <v>1384</v>
      </c>
      <c r="O791" t="s">
        <v>89</v>
      </c>
      <c r="P791" t="str">
        <f>"4170072061                    "</f>
        <v xml:space="preserve">4170072061                    </v>
      </c>
      <c r="Q791">
        <v>0</v>
      </c>
      <c r="R791">
        <v>0</v>
      </c>
      <c r="S791">
        <v>0</v>
      </c>
      <c r="T791">
        <v>0</v>
      </c>
      <c r="U791">
        <v>0</v>
      </c>
      <c r="V791">
        <v>0</v>
      </c>
      <c r="W791">
        <v>0</v>
      </c>
      <c r="X791">
        <v>0</v>
      </c>
      <c r="Y791">
        <v>0</v>
      </c>
      <c r="Z791">
        <v>0</v>
      </c>
      <c r="AA791">
        <v>0</v>
      </c>
      <c r="AB791">
        <v>0</v>
      </c>
      <c r="AC791">
        <v>0</v>
      </c>
      <c r="AD791">
        <v>0</v>
      </c>
      <c r="AE791">
        <v>0</v>
      </c>
      <c r="AF791">
        <v>0</v>
      </c>
      <c r="AG791">
        <v>0</v>
      </c>
      <c r="AH791">
        <v>0</v>
      </c>
      <c r="AI791">
        <v>0</v>
      </c>
      <c r="AJ791">
        <v>0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57.41</v>
      </c>
      <c r="AR791">
        <v>0</v>
      </c>
      <c r="AS791">
        <v>0</v>
      </c>
      <c r="AT791">
        <v>0</v>
      </c>
      <c r="AU791">
        <v>0</v>
      </c>
      <c r="AV791">
        <v>0</v>
      </c>
      <c r="AW791">
        <v>0</v>
      </c>
      <c r="AX791">
        <v>0</v>
      </c>
      <c r="AY791">
        <v>0</v>
      </c>
      <c r="AZ791">
        <v>0</v>
      </c>
      <c r="BA791">
        <v>0</v>
      </c>
      <c r="BB791">
        <v>0</v>
      </c>
      <c r="BC791">
        <v>0</v>
      </c>
      <c r="BD791">
        <v>0</v>
      </c>
      <c r="BE791">
        <v>0</v>
      </c>
      <c r="BF791">
        <v>0</v>
      </c>
      <c r="BG791">
        <v>0</v>
      </c>
      <c r="BH791">
        <v>1</v>
      </c>
      <c r="BI791">
        <v>4.5</v>
      </c>
      <c r="BJ791">
        <v>3.4</v>
      </c>
      <c r="BK791">
        <v>4.5</v>
      </c>
      <c r="BL791">
        <v>171.1</v>
      </c>
      <c r="BM791">
        <v>25.67</v>
      </c>
      <c r="BN791">
        <v>196.77</v>
      </c>
      <c r="BO791">
        <v>196.77</v>
      </c>
      <c r="BQ791" t="s">
        <v>1385</v>
      </c>
      <c r="BR791" t="s">
        <v>82</v>
      </c>
      <c r="BS791" s="3">
        <v>45999</v>
      </c>
      <c r="BT791" s="4">
        <v>0.59791666666666665</v>
      </c>
      <c r="BU791" t="s">
        <v>1571</v>
      </c>
      <c r="BV791" t="s">
        <v>87</v>
      </c>
      <c r="BW791" t="s">
        <v>153</v>
      </c>
      <c r="BX791" t="s">
        <v>154</v>
      </c>
      <c r="BY791">
        <v>17049.25</v>
      </c>
      <c r="CA791" t="s">
        <v>473</v>
      </c>
      <c r="CC791" t="s">
        <v>157</v>
      </c>
      <c r="CD791">
        <v>7460</v>
      </c>
      <c r="CE791" t="s">
        <v>86</v>
      </c>
      <c r="CF791" s="3">
        <v>46000</v>
      </c>
      <c r="CI791">
        <v>1</v>
      </c>
      <c r="CJ791">
        <v>1</v>
      </c>
      <c r="CK791">
        <v>21</v>
      </c>
      <c r="CL791" t="s">
        <v>87</v>
      </c>
    </row>
    <row r="792" spans="1:90" x14ac:dyDescent="0.3">
      <c r="A792" t="s">
        <v>72</v>
      </c>
      <c r="B792" t="s">
        <v>73</v>
      </c>
      <c r="C792" t="s">
        <v>74</v>
      </c>
      <c r="E792" t="str">
        <f>"080069703315"</f>
        <v>080069703315</v>
      </c>
      <c r="F792" s="3">
        <v>45996</v>
      </c>
      <c r="G792">
        <v>202609</v>
      </c>
      <c r="H792" t="s">
        <v>75</v>
      </c>
      <c r="I792" t="s">
        <v>76</v>
      </c>
      <c r="J792" t="s">
        <v>77</v>
      </c>
      <c r="K792" t="s">
        <v>78</v>
      </c>
      <c r="L792" t="s">
        <v>374</v>
      </c>
      <c r="M792" t="s">
        <v>375</v>
      </c>
      <c r="N792" t="s">
        <v>376</v>
      </c>
      <c r="O792" t="s">
        <v>80</v>
      </c>
      <c r="P792" t="str">
        <f>"4170072102                    "</f>
        <v xml:space="preserve">4170072102                    </v>
      </c>
      <c r="Q792">
        <v>0</v>
      </c>
      <c r="R792">
        <v>0</v>
      </c>
      <c r="S792">
        <v>0</v>
      </c>
      <c r="T792">
        <v>0</v>
      </c>
      <c r="U792">
        <v>0</v>
      </c>
      <c r="V792">
        <v>0</v>
      </c>
      <c r="W792">
        <v>0</v>
      </c>
      <c r="X792">
        <v>0</v>
      </c>
      <c r="Y792">
        <v>0</v>
      </c>
      <c r="Z792">
        <v>0</v>
      </c>
      <c r="AA792">
        <v>0</v>
      </c>
      <c r="AB792">
        <v>0</v>
      </c>
      <c r="AC792">
        <v>0</v>
      </c>
      <c r="AD792">
        <v>0</v>
      </c>
      <c r="AE792">
        <v>0</v>
      </c>
      <c r="AF792">
        <v>0</v>
      </c>
      <c r="AG792">
        <v>0</v>
      </c>
      <c r="AH792">
        <v>0</v>
      </c>
      <c r="AI792">
        <v>0</v>
      </c>
      <c r="AJ792">
        <v>0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59.56</v>
      </c>
      <c r="AR792">
        <v>0</v>
      </c>
      <c r="AS792">
        <v>0</v>
      </c>
      <c r="AT792">
        <v>0</v>
      </c>
      <c r="AU792">
        <v>0</v>
      </c>
      <c r="AV792">
        <v>0</v>
      </c>
      <c r="AW792">
        <v>0</v>
      </c>
      <c r="AX792">
        <v>0</v>
      </c>
      <c r="AY792">
        <v>0</v>
      </c>
      <c r="AZ792">
        <v>0</v>
      </c>
      <c r="BA792">
        <v>0</v>
      </c>
      <c r="BB792">
        <v>0</v>
      </c>
      <c r="BC792">
        <v>0</v>
      </c>
      <c r="BD792">
        <v>0</v>
      </c>
      <c r="BE792">
        <v>0</v>
      </c>
      <c r="BF792">
        <v>0</v>
      </c>
      <c r="BG792">
        <v>0</v>
      </c>
      <c r="BH792">
        <v>2</v>
      </c>
      <c r="BI792">
        <v>20</v>
      </c>
      <c r="BJ792">
        <v>7.2</v>
      </c>
      <c r="BK792">
        <v>20</v>
      </c>
      <c r="BL792">
        <v>183.6</v>
      </c>
      <c r="BM792">
        <v>27.54</v>
      </c>
      <c r="BN792">
        <v>211.14</v>
      </c>
      <c r="BO792">
        <v>211.14</v>
      </c>
      <c r="BQ792" t="s">
        <v>377</v>
      </c>
      <c r="BR792" t="s">
        <v>82</v>
      </c>
      <c r="BS792" s="3">
        <v>46000</v>
      </c>
      <c r="BT792" s="4">
        <v>0.41666666666666669</v>
      </c>
      <c r="BU792" t="s">
        <v>1572</v>
      </c>
      <c r="BV792" t="s">
        <v>84</v>
      </c>
      <c r="BY792">
        <v>18032</v>
      </c>
      <c r="CC792" t="s">
        <v>375</v>
      </c>
      <c r="CD792">
        <v>7600</v>
      </c>
      <c r="CE792" t="s">
        <v>894</v>
      </c>
      <c r="CF792" s="3">
        <v>46002</v>
      </c>
      <c r="CI792">
        <v>3</v>
      </c>
      <c r="CJ792">
        <v>2</v>
      </c>
      <c r="CK792">
        <v>41</v>
      </c>
      <c r="CL792" t="s">
        <v>87</v>
      </c>
    </row>
    <row r="793" spans="1:90" x14ac:dyDescent="0.3">
      <c r="A793" t="s">
        <v>72</v>
      </c>
      <c r="B793" t="s">
        <v>73</v>
      </c>
      <c r="C793" t="s">
        <v>74</v>
      </c>
      <c r="E793" t="str">
        <f>"080069703350"</f>
        <v>080069703350</v>
      </c>
      <c r="F793" s="3">
        <v>45996</v>
      </c>
      <c r="G793">
        <v>202609</v>
      </c>
      <c r="H793" t="s">
        <v>75</v>
      </c>
      <c r="I793" t="s">
        <v>76</v>
      </c>
      <c r="J793" t="s">
        <v>77</v>
      </c>
      <c r="K793" t="s">
        <v>78</v>
      </c>
      <c r="L793" t="s">
        <v>141</v>
      </c>
      <c r="M793" t="s">
        <v>142</v>
      </c>
      <c r="N793" t="s">
        <v>708</v>
      </c>
      <c r="O793" t="s">
        <v>89</v>
      </c>
      <c r="P793" t="str">
        <f>"4170072135                    "</f>
        <v xml:space="preserve">4170072135                    </v>
      </c>
      <c r="Q793">
        <v>0</v>
      </c>
      <c r="R793">
        <v>0</v>
      </c>
      <c r="S793">
        <v>0</v>
      </c>
      <c r="T793">
        <v>0</v>
      </c>
      <c r="U793">
        <v>0</v>
      </c>
      <c r="V793">
        <v>0</v>
      </c>
      <c r="W793">
        <v>0</v>
      </c>
      <c r="X793">
        <v>0</v>
      </c>
      <c r="Y793">
        <v>0</v>
      </c>
      <c r="Z793">
        <v>0</v>
      </c>
      <c r="AA793">
        <v>0</v>
      </c>
      <c r="AB793">
        <v>0</v>
      </c>
      <c r="AC793">
        <v>0</v>
      </c>
      <c r="AD793">
        <v>0</v>
      </c>
      <c r="AE793">
        <v>0</v>
      </c>
      <c r="AF793">
        <v>0</v>
      </c>
      <c r="AG793">
        <v>0</v>
      </c>
      <c r="AH793">
        <v>0</v>
      </c>
      <c r="AI793">
        <v>0</v>
      </c>
      <c r="AJ793">
        <v>0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25.52</v>
      </c>
      <c r="AR793">
        <v>0</v>
      </c>
      <c r="AS793">
        <v>0</v>
      </c>
      <c r="AT793">
        <v>0</v>
      </c>
      <c r="AU793">
        <v>0</v>
      </c>
      <c r="AV793">
        <v>0</v>
      </c>
      <c r="AW793">
        <v>0</v>
      </c>
      <c r="AX793">
        <v>0</v>
      </c>
      <c r="AY793">
        <v>0</v>
      </c>
      <c r="AZ793">
        <v>0</v>
      </c>
      <c r="BA793">
        <v>0</v>
      </c>
      <c r="BB793">
        <v>0</v>
      </c>
      <c r="BC793">
        <v>0</v>
      </c>
      <c r="BD793">
        <v>0</v>
      </c>
      <c r="BE793">
        <v>0</v>
      </c>
      <c r="BF793">
        <v>0</v>
      </c>
      <c r="BG793">
        <v>0</v>
      </c>
      <c r="BH793">
        <v>1</v>
      </c>
      <c r="BI793">
        <v>1</v>
      </c>
      <c r="BJ793">
        <v>0.2</v>
      </c>
      <c r="BK793">
        <v>1</v>
      </c>
      <c r="BL793">
        <v>76.06</v>
      </c>
      <c r="BM793">
        <v>11.41</v>
      </c>
      <c r="BN793">
        <v>87.47</v>
      </c>
      <c r="BO793">
        <v>87.47</v>
      </c>
      <c r="BQ793" t="s">
        <v>709</v>
      </c>
      <c r="BR793" t="s">
        <v>82</v>
      </c>
      <c r="BS793" s="3">
        <v>46000</v>
      </c>
      <c r="BT793" s="4">
        <v>0.39861111111111114</v>
      </c>
      <c r="BU793" t="s">
        <v>1573</v>
      </c>
      <c r="BV793" t="s">
        <v>87</v>
      </c>
      <c r="BW793" t="s">
        <v>246</v>
      </c>
      <c r="BX793" t="s">
        <v>1574</v>
      </c>
      <c r="BY793">
        <v>1200</v>
      </c>
      <c r="CA793" t="s">
        <v>489</v>
      </c>
      <c r="CC793" t="s">
        <v>142</v>
      </c>
      <c r="CD793">
        <v>6012</v>
      </c>
      <c r="CE793" t="s">
        <v>134</v>
      </c>
      <c r="CF793" s="3">
        <v>46000</v>
      </c>
      <c r="CI793">
        <v>1</v>
      </c>
      <c r="CJ793">
        <v>2</v>
      </c>
      <c r="CK793">
        <v>21</v>
      </c>
      <c r="CL793" t="s">
        <v>87</v>
      </c>
    </row>
    <row r="794" spans="1:90" x14ac:dyDescent="0.3">
      <c r="A794" t="s">
        <v>72</v>
      </c>
      <c r="B794" t="s">
        <v>73</v>
      </c>
      <c r="C794" t="s">
        <v>74</v>
      </c>
      <c r="E794" t="str">
        <f>"080069703361"</f>
        <v>080069703361</v>
      </c>
      <c r="F794" s="3">
        <v>45996</v>
      </c>
      <c r="G794">
        <v>202609</v>
      </c>
      <c r="H794" t="s">
        <v>75</v>
      </c>
      <c r="I794" t="s">
        <v>76</v>
      </c>
      <c r="J794" t="s">
        <v>77</v>
      </c>
      <c r="K794" t="s">
        <v>78</v>
      </c>
      <c r="L794" t="s">
        <v>75</v>
      </c>
      <c r="M794" t="s">
        <v>76</v>
      </c>
      <c r="N794" t="s">
        <v>79</v>
      </c>
      <c r="O794" t="s">
        <v>89</v>
      </c>
      <c r="P794" t="str">
        <f>"4170072211                    "</f>
        <v xml:space="preserve">4170072211                    </v>
      </c>
      <c r="Q794">
        <v>0</v>
      </c>
      <c r="R794">
        <v>0</v>
      </c>
      <c r="S794">
        <v>0</v>
      </c>
      <c r="T794">
        <v>0</v>
      </c>
      <c r="U794">
        <v>0</v>
      </c>
      <c r="V794">
        <v>0</v>
      </c>
      <c r="W794">
        <v>0</v>
      </c>
      <c r="X794">
        <v>0</v>
      </c>
      <c r="Y794">
        <v>0</v>
      </c>
      <c r="Z794">
        <v>0</v>
      </c>
      <c r="AA794">
        <v>0</v>
      </c>
      <c r="AB794">
        <v>0</v>
      </c>
      <c r="AC794">
        <v>0</v>
      </c>
      <c r="AD794">
        <v>0</v>
      </c>
      <c r="AE794">
        <v>0</v>
      </c>
      <c r="AF794">
        <v>0</v>
      </c>
      <c r="AG794">
        <v>0</v>
      </c>
      <c r="AH794">
        <v>0</v>
      </c>
      <c r="AI794">
        <v>0</v>
      </c>
      <c r="AJ794">
        <v>0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19.940000000000001</v>
      </c>
      <c r="AR794">
        <v>0</v>
      </c>
      <c r="AS794">
        <v>0</v>
      </c>
      <c r="AT794">
        <v>0</v>
      </c>
      <c r="AU794">
        <v>0</v>
      </c>
      <c r="AV794">
        <v>0</v>
      </c>
      <c r="AW794">
        <v>0</v>
      </c>
      <c r="AX794">
        <v>0</v>
      </c>
      <c r="AY794">
        <v>0</v>
      </c>
      <c r="AZ794">
        <v>0</v>
      </c>
      <c r="BA794">
        <v>0</v>
      </c>
      <c r="BB794">
        <v>0</v>
      </c>
      <c r="BC794">
        <v>0</v>
      </c>
      <c r="BD794">
        <v>0</v>
      </c>
      <c r="BE794">
        <v>0</v>
      </c>
      <c r="BF794">
        <v>0</v>
      </c>
      <c r="BG794">
        <v>0</v>
      </c>
      <c r="BH794">
        <v>1</v>
      </c>
      <c r="BI794">
        <v>2</v>
      </c>
      <c r="BJ794">
        <v>1.1000000000000001</v>
      </c>
      <c r="BK794">
        <v>2</v>
      </c>
      <c r="BL794">
        <v>59.42</v>
      </c>
      <c r="BM794">
        <v>8.91</v>
      </c>
      <c r="BN794">
        <v>68.33</v>
      </c>
      <c r="BO794">
        <v>68.33</v>
      </c>
      <c r="BQ794" t="s">
        <v>81</v>
      </c>
      <c r="BR794" t="s">
        <v>82</v>
      </c>
      <c r="BS794" s="3">
        <v>45999</v>
      </c>
      <c r="BT794" s="4">
        <v>0.40277777777777779</v>
      </c>
      <c r="BU794" t="s">
        <v>83</v>
      </c>
      <c r="BV794" t="s">
        <v>84</v>
      </c>
      <c r="BY794">
        <v>5510</v>
      </c>
      <c r="CA794" t="s">
        <v>85</v>
      </c>
      <c r="CC794" t="s">
        <v>76</v>
      </c>
      <c r="CD794">
        <v>1619</v>
      </c>
      <c r="CE794" t="s">
        <v>86</v>
      </c>
      <c r="CF794" s="3">
        <v>46000</v>
      </c>
      <c r="CI794">
        <v>1</v>
      </c>
      <c r="CJ794">
        <v>1</v>
      </c>
      <c r="CK794">
        <v>22</v>
      </c>
      <c r="CL794" t="s">
        <v>87</v>
      </c>
    </row>
    <row r="795" spans="1:90" x14ac:dyDescent="0.3">
      <c r="A795" t="s">
        <v>72</v>
      </c>
      <c r="B795" t="s">
        <v>73</v>
      </c>
      <c r="C795" t="s">
        <v>74</v>
      </c>
      <c r="E795" t="str">
        <f>"080069703401"</f>
        <v>080069703401</v>
      </c>
      <c r="F795" s="3">
        <v>45996</v>
      </c>
      <c r="G795">
        <v>202609</v>
      </c>
      <c r="H795" t="s">
        <v>75</v>
      </c>
      <c r="I795" t="s">
        <v>76</v>
      </c>
      <c r="J795" t="s">
        <v>77</v>
      </c>
      <c r="K795" t="s">
        <v>78</v>
      </c>
      <c r="L795" t="s">
        <v>535</v>
      </c>
      <c r="M795" t="s">
        <v>535</v>
      </c>
      <c r="N795" t="s">
        <v>556</v>
      </c>
      <c r="O795" t="s">
        <v>89</v>
      </c>
      <c r="P795" t="str">
        <f>"4170072204                    "</f>
        <v xml:space="preserve">4170072204                    </v>
      </c>
      <c r="Q795">
        <v>0</v>
      </c>
      <c r="R795">
        <v>0</v>
      </c>
      <c r="S795">
        <v>0</v>
      </c>
      <c r="T795">
        <v>0</v>
      </c>
      <c r="U795">
        <v>0</v>
      </c>
      <c r="V795">
        <v>0</v>
      </c>
      <c r="W795">
        <v>0</v>
      </c>
      <c r="X795">
        <v>0</v>
      </c>
      <c r="Y795">
        <v>0</v>
      </c>
      <c r="Z795">
        <v>0</v>
      </c>
      <c r="AA795">
        <v>0</v>
      </c>
      <c r="AB795">
        <v>0</v>
      </c>
      <c r="AC795">
        <v>0</v>
      </c>
      <c r="AD795">
        <v>0</v>
      </c>
      <c r="AE795">
        <v>0</v>
      </c>
      <c r="AF795">
        <v>0</v>
      </c>
      <c r="AG795">
        <v>0</v>
      </c>
      <c r="AH795">
        <v>0</v>
      </c>
      <c r="AI795">
        <v>0</v>
      </c>
      <c r="AJ795">
        <v>0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49.45</v>
      </c>
      <c r="AR795">
        <v>0</v>
      </c>
      <c r="AS795">
        <v>0</v>
      </c>
      <c r="AT795">
        <v>0</v>
      </c>
      <c r="AU795">
        <v>0</v>
      </c>
      <c r="AV795">
        <v>0</v>
      </c>
      <c r="AW795">
        <v>0</v>
      </c>
      <c r="AX795">
        <v>0</v>
      </c>
      <c r="AY795">
        <v>0</v>
      </c>
      <c r="AZ795">
        <v>0</v>
      </c>
      <c r="BA795">
        <v>0</v>
      </c>
      <c r="BB795">
        <v>0</v>
      </c>
      <c r="BC795">
        <v>0</v>
      </c>
      <c r="BD795">
        <v>0</v>
      </c>
      <c r="BE795">
        <v>0</v>
      </c>
      <c r="BF795">
        <v>0</v>
      </c>
      <c r="BG795">
        <v>0</v>
      </c>
      <c r="BH795">
        <v>1</v>
      </c>
      <c r="BI795">
        <v>2</v>
      </c>
      <c r="BJ795">
        <v>1.4</v>
      </c>
      <c r="BK795">
        <v>2</v>
      </c>
      <c r="BL795">
        <v>147.38</v>
      </c>
      <c r="BM795">
        <v>22.11</v>
      </c>
      <c r="BN795">
        <v>169.49</v>
      </c>
      <c r="BO795">
        <v>169.49</v>
      </c>
      <c r="BQ795" t="s">
        <v>557</v>
      </c>
      <c r="BR795" t="s">
        <v>82</v>
      </c>
      <c r="BS795" s="3">
        <v>45999</v>
      </c>
      <c r="BT795" s="4">
        <v>0.53611111111111109</v>
      </c>
      <c r="BU795" t="s">
        <v>558</v>
      </c>
      <c r="BV795" t="s">
        <v>84</v>
      </c>
      <c r="BY795">
        <v>7000</v>
      </c>
      <c r="CA795" t="s">
        <v>539</v>
      </c>
      <c r="CC795" t="s">
        <v>535</v>
      </c>
      <c r="CD795">
        <v>7646</v>
      </c>
      <c r="CE795" t="s">
        <v>86</v>
      </c>
      <c r="CF795" s="3">
        <v>46000</v>
      </c>
      <c r="CI795">
        <v>1</v>
      </c>
      <c r="CJ795">
        <v>1</v>
      </c>
      <c r="CK795">
        <v>23</v>
      </c>
      <c r="CL795" t="s">
        <v>87</v>
      </c>
    </row>
    <row r="796" spans="1:90" x14ac:dyDescent="0.3">
      <c r="A796" t="s">
        <v>72</v>
      </c>
      <c r="B796" t="s">
        <v>73</v>
      </c>
      <c r="C796" t="s">
        <v>74</v>
      </c>
      <c r="E796" t="str">
        <f>"080069703402"</f>
        <v>080069703402</v>
      </c>
      <c r="F796" s="3">
        <v>45996</v>
      </c>
      <c r="G796">
        <v>202609</v>
      </c>
      <c r="H796" t="s">
        <v>75</v>
      </c>
      <c r="I796" t="s">
        <v>76</v>
      </c>
      <c r="J796" t="s">
        <v>77</v>
      </c>
      <c r="K796" t="s">
        <v>78</v>
      </c>
      <c r="L796" t="s">
        <v>94</v>
      </c>
      <c r="M796" t="s">
        <v>95</v>
      </c>
      <c r="N796" t="s">
        <v>804</v>
      </c>
      <c r="O796" t="s">
        <v>89</v>
      </c>
      <c r="P796" t="str">
        <f>"4170072197                    "</f>
        <v xml:space="preserve">4170072197                    </v>
      </c>
      <c r="Q796">
        <v>0</v>
      </c>
      <c r="R796">
        <v>0</v>
      </c>
      <c r="S796">
        <v>0</v>
      </c>
      <c r="T796">
        <v>0</v>
      </c>
      <c r="U796">
        <v>0</v>
      </c>
      <c r="V796">
        <v>0</v>
      </c>
      <c r="W796">
        <v>0</v>
      </c>
      <c r="X796">
        <v>0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0</v>
      </c>
      <c r="AE796">
        <v>0</v>
      </c>
      <c r="AF796">
        <v>0</v>
      </c>
      <c r="AG796">
        <v>0</v>
      </c>
      <c r="AH796">
        <v>0</v>
      </c>
      <c r="AI796">
        <v>0</v>
      </c>
      <c r="AJ796">
        <v>0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25.52</v>
      </c>
      <c r="AR796">
        <v>0</v>
      </c>
      <c r="AS796">
        <v>0</v>
      </c>
      <c r="AT796">
        <v>0</v>
      </c>
      <c r="AU796">
        <v>0</v>
      </c>
      <c r="AV796">
        <v>0</v>
      </c>
      <c r="AW796">
        <v>0</v>
      </c>
      <c r="AX796">
        <v>0</v>
      </c>
      <c r="AY796">
        <v>0</v>
      </c>
      <c r="AZ796">
        <v>0</v>
      </c>
      <c r="BA796">
        <v>0</v>
      </c>
      <c r="BB796">
        <v>0</v>
      </c>
      <c r="BC796">
        <v>0</v>
      </c>
      <c r="BD796">
        <v>0</v>
      </c>
      <c r="BE796">
        <v>0</v>
      </c>
      <c r="BF796">
        <v>0</v>
      </c>
      <c r="BG796">
        <v>0</v>
      </c>
      <c r="BH796">
        <v>1</v>
      </c>
      <c r="BI796">
        <v>1</v>
      </c>
      <c r="BJ796">
        <v>0.2</v>
      </c>
      <c r="BK796">
        <v>1</v>
      </c>
      <c r="BL796">
        <v>76.06</v>
      </c>
      <c r="BM796">
        <v>11.41</v>
      </c>
      <c r="BN796">
        <v>87.47</v>
      </c>
      <c r="BO796">
        <v>87.47</v>
      </c>
      <c r="BQ796" t="s">
        <v>805</v>
      </c>
      <c r="BR796" t="s">
        <v>82</v>
      </c>
      <c r="BS796" s="3">
        <v>45999</v>
      </c>
      <c r="BT796" s="4">
        <v>0.38124999999999998</v>
      </c>
      <c r="BU796" t="s">
        <v>726</v>
      </c>
      <c r="BV796" t="s">
        <v>84</v>
      </c>
      <c r="BY796">
        <v>1200</v>
      </c>
      <c r="CA796" t="s">
        <v>99</v>
      </c>
      <c r="CC796" t="s">
        <v>95</v>
      </c>
      <c r="CD796">
        <v>3600</v>
      </c>
      <c r="CE796" t="s">
        <v>134</v>
      </c>
      <c r="CF796" s="3">
        <v>45999</v>
      </c>
      <c r="CI796">
        <v>1</v>
      </c>
      <c r="CJ796">
        <v>1</v>
      </c>
      <c r="CK796">
        <v>21</v>
      </c>
      <c r="CL796" t="s">
        <v>87</v>
      </c>
    </row>
    <row r="797" spans="1:90" x14ac:dyDescent="0.3">
      <c r="A797" t="s">
        <v>72</v>
      </c>
      <c r="B797" t="s">
        <v>73</v>
      </c>
      <c r="C797" t="s">
        <v>74</v>
      </c>
      <c r="E797" t="str">
        <f>"080069703446"</f>
        <v>080069703446</v>
      </c>
      <c r="F797" s="3">
        <v>45996</v>
      </c>
      <c r="G797">
        <v>202609</v>
      </c>
      <c r="H797" t="s">
        <v>75</v>
      </c>
      <c r="I797" t="s">
        <v>76</v>
      </c>
      <c r="J797" t="s">
        <v>77</v>
      </c>
      <c r="K797" t="s">
        <v>78</v>
      </c>
      <c r="L797" t="s">
        <v>75</v>
      </c>
      <c r="M797" t="s">
        <v>76</v>
      </c>
      <c r="N797" t="s">
        <v>79</v>
      </c>
      <c r="O797" t="s">
        <v>89</v>
      </c>
      <c r="P797" t="str">
        <f>"4170072212                    "</f>
        <v xml:space="preserve">4170072212                    </v>
      </c>
      <c r="Q797">
        <v>0</v>
      </c>
      <c r="R797">
        <v>0</v>
      </c>
      <c r="S797">
        <v>0</v>
      </c>
      <c r="T797">
        <v>0</v>
      </c>
      <c r="U797">
        <v>0</v>
      </c>
      <c r="V797">
        <v>0</v>
      </c>
      <c r="W797">
        <v>0</v>
      </c>
      <c r="X797">
        <v>0</v>
      </c>
      <c r="Y797">
        <v>0</v>
      </c>
      <c r="Z797">
        <v>0</v>
      </c>
      <c r="AA797">
        <v>0</v>
      </c>
      <c r="AB797">
        <v>0</v>
      </c>
      <c r="AC797">
        <v>0</v>
      </c>
      <c r="AD797">
        <v>0</v>
      </c>
      <c r="AE797">
        <v>0</v>
      </c>
      <c r="AF797">
        <v>0</v>
      </c>
      <c r="AG797">
        <v>0</v>
      </c>
      <c r="AH797">
        <v>0</v>
      </c>
      <c r="AI797">
        <v>0</v>
      </c>
      <c r="AJ797">
        <v>0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19.940000000000001</v>
      </c>
      <c r="AR797">
        <v>0</v>
      </c>
      <c r="AS797">
        <v>0</v>
      </c>
      <c r="AT797">
        <v>0</v>
      </c>
      <c r="AU797">
        <v>0</v>
      </c>
      <c r="AV797">
        <v>0</v>
      </c>
      <c r="AW797">
        <v>0</v>
      </c>
      <c r="AX797">
        <v>0</v>
      </c>
      <c r="AY797">
        <v>0</v>
      </c>
      <c r="AZ797">
        <v>0</v>
      </c>
      <c r="BA797">
        <v>0</v>
      </c>
      <c r="BB797">
        <v>0</v>
      </c>
      <c r="BC797">
        <v>0</v>
      </c>
      <c r="BD797">
        <v>0</v>
      </c>
      <c r="BE797">
        <v>0</v>
      </c>
      <c r="BF797">
        <v>0</v>
      </c>
      <c r="BG797">
        <v>0</v>
      </c>
      <c r="BH797">
        <v>1</v>
      </c>
      <c r="BI797">
        <v>2</v>
      </c>
      <c r="BJ797">
        <v>1.1000000000000001</v>
      </c>
      <c r="BK797">
        <v>2</v>
      </c>
      <c r="BL797">
        <v>59.42</v>
      </c>
      <c r="BM797">
        <v>8.91</v>
      </c>
      <c r="BN797">
        <v>68.33</v>
      </c>
      <c r="BO797">
        <v>68.33</v>
      </c>
      <c r="BQ797" t="s">
        <v>81</v>
      </c>
      <c r="BR797" t="s">
        <v>82</v>
      </c>
      <c r="BS797" s="3">
        <v>45999</v>
      </c>
      <c r="BT797" s="4">
        <v>0.40347222222222223</v>
      </c>
      <c r="BU797" t="s">
        <v>83</v>
      </c>
      <c r="BV797" t="s">
        <v>84</v>
      </c>
      <c r="BY797">
        <v>5510</v>
      </c>
      <c r="CA797" t="s">
        <v>85</v>
      </c>
      <c r="CC797" t="s">
        <v>76</v>
      </c>
      <c r="CD797">
        <v>1619</v>
      </c>
      <c r="CE797" t="s">
        <v>86</v>
      </c>
      <c r="CF797" s="3">
        <v>46000</v>
      </c>
      <c r="CI797">
        <v>1</v>
      </c>
      <c r="CJ797">
        <v>1</v>
      </c>
      <c r="CK797">
        <v>22</v>
      </c>
      <c r="CL797" t="s">
        <v>87</v>
      </c>
    </row>
    <row r="798" spans="1:90" x14ac:dyDescent="0.3">
      <c r="A798" t="s">
        <v>72</v>
      </c>
      <c r="B798" t="s">
        <v>73</v>
      </c>
      <c r="C798" t="s">
        <v>74</v>
      </c>
      <c r="E798" t="str">
        <f>"080069703442"</f>
        <v>080069703442</v>
      </c>
      <c r="F798" s="3">
        <v>45996</v>
      </c>
      <c r="G798">
        <v>202609</v>
      </c>
      <c r="H798" t="s">
        <v>75</v>
      </c>
      <c r="I798" t="s">
        <v>76</v>
      </c>
      <c r="J798" t="s">
        <v>77</v>
      </c>
      <c r="K798" t="s">
        <v>78</v>
      </c>
      <c r="L798" t="s">
        <v>141</v>
      </c>
      <c r="M798" t="s">
        <v>142</v>
      </c>
      <c r="N798" t="s">
        <v>856</v>
      </c>
      <c r="O798" t="s">
        <v>89</v>
      </c>
      <c r="P798" t="str">
        <f>"4170072231                    "</f>
        <v xml:space="preserve">4170072231                    </v>
      </c>
      <c r="Q798">
        <v>0</v>
      </c>
      <c r="R798">
        <v>0</v>
      </c>
      <c r="S798">
        <v>0</v>
      </c>
      <c r="T798">
        <v>0</v>
      </c>
      <c r="U798">
        <v>0</v>
      </c>
      <c r="V798">
        <v>0</v>
      </c>
      <c r="W798">
        <v>0</v>
      </c>
      <c r="X798">
        <v>0</v>
      </c>
      <c r="Y798">
        <v>0</v>
      </c>
      <c r="Z798">
        <v>0</v>
      </c>
      <c r="AA798">
        <v>0</v>
      </c>
      <c r="AB798">
        <v>0</v>
      </c>
      <c r="AC798">
        <v>0</v>
      </c>
      <c r="AD798">
        <v>0</v>
      </c>
      <c r="AE798">
        <v>0</v>
      </c>
      <c r="AF798">
        <v>0</v>
      </c>
      <c r="AG798">
        <v>0</v>
      </c>
      <c r="AH798">
        <v>0</v>
      </c>
      <c r="AI798">
        <v>0</v>
      </c>
      <c r="AJ798">
        <v>0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25.52</v>
      </c>
      <c r="AR798">
        <v>0</v>
      </c>
      <c r="AS798">
        <v>0</v>
      </c>
      <c r="AT798">
        <v>0</v>
      </c>
      <c r="AU798">
        <v>0</v>
      </c>
      <c r="AV798">
        <v>0</v>
      </c>
      <c r="AW798">
        <v>0</v>
      </c>
      <c r="AX798">
        <v>0</v>
      </c>
      <c r="AY798">
        <v>0</v>
      </c>
      <c r="AZ798">
        <v>0</v>
      </c>
      <c r="BA798">
        <v>0</v>
      </c>
      <c r="BB798">
        <v>0</v>
      </c>
      <c r="BC798">
        <v>0</v>
      </c>
      <c r="BD798">
        <v>0</v>
      </c>
      <c r="BE798">
        <v>0</v>
      </c>
      <c r="BF798">
        <v>0</v>
      </c>
      <c r="BG798">
        <v>0</v>
      </c>
      <c r="BH798">
        <v>1</v>
      </c>
      <c r="BI798">
        <v>1</v>
      </c>
      <c r="BJ798">
        <v>0.2</v>
      </c>
      <c r="BK798">
        <v>1</v>
      </c>
      <c r="BL798">
        <v>76.06</v>
      </c>
      <c r="BM798">
        <v>11.41</v>
      </c>
      <c r="BN798">
        <v>87.47</v>
      </c>
      <c r="BO798">
        <v>87.47</v>
      </c>
      <c r="BQ798" t="s">
        <v>857</v>
      </c>
      <c r="BR798" t="s">
        <v>82</v>
      </c>
      <c r="BS798" s="3">
        <v>45999</v>
      </c>
      <c r="BT798" s="4">
        <v>0.41111111111111109</v>
      </c>
      <c r="BU798" t="s">
        <v>1523</v>
      </c>
      <c r="BV798" t="s">
        <v>84</v>
      </c>
      <c r="BY798">
        <v>1200</v>
      </c>
      <c r="CA798" t="s">
        <v>1228</v>
      </c>
      <c r="CC798" t="s">
        <v>142</v>
      </c>
      <c r="CD798">
        <v>6000</v>
      </c>
      <c r="CE798" t="s">
        <v>134</v>
      </c>
      <c r="CF798" s="3">
        <v>45999</v>
      </c>
      <c r="CI798">
        <v>1</v>
      </c>
      <c r="CJ798">
        <v>1</v>
      </c>
      <c r="CK798">
        <v>21</v>
      </c>
      <c r="CL798" t="s">
        <v>87</v>
      </c>
    </row>
    <row r="799" spans="1:90" x14ac:dyDescent="0.3">
      <c r="A799" t="s">
        <v>72</v>
      </c>
      <c r="B799" t="s">
        <v>73</v>
      </c>
      <c r="C799" t="s">
        <v>74</v>
      </c>
      <c r="E799" t="str">
        <f>"080069703482"</f>
        <v>080069703482</v>
      </c>
      <c r="F799" s="3">
        <v>45996</v>
      </c>
      <c r="G799">
        <v>202609</v>
      </c>
      <c r="H799" t="s">
        <v>75</v>
      </c>
      <c r="I799" t="s">
        <v>76</v>
      </c>
      <c r="J799" t="s">
        <v>77</v>
      </c>
      <c r="K799" t="s">
        <v>78</v>
      </c>
      <c r="L799" t="s">
        <v>94</v>
      </c>
      <c r="M799" t="s">
        <v>95</v>
      </c>
      <c r="N799" t="s">
        <v>804</v>
      </c>
      <c r="O799" t="s">
        <v>89</v>
      </c>
      <c r="P799" t="str">
        <f>"4170072198                    "</f>
        <v xml:space="preserve">4170072198                    </v>
      </c>
      <c r="Q799">
        <v>0</v>
      </c>
      <c r="R799">
        <v>0</v>
      </c>
      <c r="S799">
        <v>0</v>
      </c>
      <c r="T799">
        <v>0</v>
      </c>
      <c r="U799">
        <v>0</v>
      </c>
      <c r="V799">
        <v>0</v>
      </c>
      <c r="W799">
        <v>0</v>
      </c>
      <c r="X799">
        <v>0</v>
      </c>
      <c r="Y799">
        <v>0</v>
      </c>
      <c r="Z799">
        <v>0</v>
      </c>
      <c r="AA799">
        <v>0</v>
      </c>
      <c r="AB799">
        <v>0</v>
      </c>
      <c r="AC799">
        <v>0</v>
      </c>
      <c r="AD799">
        <v>0</v>
      </c>
      <c r="AE799">
        <v>0</v>
      </c>
      <c r="AF799">
        <v>0</v>
      </c>
      <c r="AG799">
        <v>0</v>
      </c>
      <c r="AH799">
        <v>0</v>
      </c>
      <c r="AI799">
        <v>0</v>
      </c>
      <c r="AJ799">
        <v>0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25.52</v>
      </c>
      <c r="AR799">
        <v>0</v>
      </c>
      <c r="AS799">
        <v>0</v>
      </c>
      <c r="AT799">
        <v>0</v>
      </c>
      <c r="AU799">
        <v>0</v>
      </c>
      <c r="AV799">
        <v>0</v>
      </c>
      <c r="AW799">
        <v>0</v>
      </c>
      <c r="AX799">
        <v>0</v>
      </c>
      <c r="AY799">
        <v>0</v>
      </c>
      <c r="AZ799">
        <v>0</v>
      </c>
      <c r="BA799">
        <v>0</v>
      </c>
      <c r="BB799">
        <v>0</v>
      </c>
      <c r="BC799">
        <v>0</v>
      </c>
      <c r="BD799">
        <v>0</v>
      </c>
      <c r="BE799">
        <v>0</v>
      </c>
      <c r="BF799">
        <v>0</v>
      </c>
      <c r="BG799">
        <v>0</v>
      </c>
      <c r="BH799">
        <v>1</v>
      </c>
      <c r="BI799">
        <v>1</v>
      </c>
      <c r="BJ799">
        <v>0.2</v>
      </c>
      <c r="BK799">
        <v>1</v>
      </c>
      <c r="BL799">
        <v>76.06</v>
      </c>
      <c r="BM799">
        <v>11.41</v>
      </c>
      <c r="BN799">
        <v>87.47</v>
      </c>
      <c r="BO799">
        <v>87.47</v>
      </c>
      <c r="BQ799" t="s">
        <v>805</v>
      </c>
      <c r="BR799" t="s">
        <v>82</v>
      </c>
      <c r="BS799" s="3">
        <v>45999</v>
      </c>
      <c r="BT799" s="4">
        <v>0.36736111111111114</v>
      </c>
      <c r="BU799" t="s">
        <v>1575</v>
      </c>
      <c r="BV799" t="s">
        <v>84</v>
      </c>
      <c r="BY799">
        <v>1200</v>
      </c>
      <c r="CA799" t="s">
        <v>99</v>
      </c>
      <c r="CC799" t="s">
        <v>95</v>
      </c>
      <c r="CD799">
        <v>3600</v>
      </c>
      <c r="CE799" t="s">
        <v>134</v>
      </c>
      <c r="CF799" s="3">
        <v>45999</v>
      </c>
      <c r="CI799">
        <v>1</v>
      </c>
      <c r="CJ799">
        <v>1</v>
      </c>
      <c r="CK799">
        <v>21</v>
      </c>
      <c r="CL799" t="s">
        <v>87</v>
      </c>
    </row>
    <row r="800" spans="1:90" x14ac:dyDescent="0.3">
      <c r="A800" t="s">
        <v>72</v>
      </c>
      <c r="B800" t="s">
        <v>73</v>
      </c>
      <c r="C800" t="s">
        <v>74</v>
      </c>
      <c r="E800" t="str">
        <f>"080069703486"</f>
        <v>080069703486</v>
      </c>
      <c r="F800" s="3">
        <v>45996</v>
      </c>
      <c r="G800">
        <v>202609</v>
      </c>
      <c r="H800" t="s">
        <v>75</v>
      </c>
      <c r="I800" t="s">
        <v>76</v>
      </c>
      <c r="J800" t="s">
        <v>77</v>
      </c>
      <c r="K800" t="s">
        <v>78</v>
      </c>
      <c r="L800" t="s">
        <v>189</v>
      </c>
      <c r="M800" t="s">
        <v>190</v>
      </c>
      <c r="N800" t="s">
        <v>1053</v>
      </c>
      <c r="O800" t="s">
        <v>89</v>
      </c>
      <c r="P800" t="str">
        <f>"4170072241                    "</f>
        <v xml:space="preserve">4170072241                    </v>
      </c>
      <c r="Q800">
        <v>0</v>
      </c>
      <c r="R800">
        <v>0</v>
      </c>
      <c r="S800">
        <v>0</v>
      </c>
      <c r="T800">
        <v>0</v>
      </c>
      <c r="U800">
        <v>0</v>
      </c>
      <c r="V800">
        <v>0</v>
      </c>
      <c r="W800">
        <v>0</v>
      </c>
      <c r="X800">
        <v>0</v>
      </c>
      <c r="Y800">
        <v>0</v>
      </c>
      <c r="Z800">
        <v>0</v>
      </c>
      <c r="AA800">
        <v>0</v>
      </c>
      <c r="AB800">
        <v>0</v>
      </c>
      <c r="AC800">
        <v>0</v>
      </c>
      <c r="AD800">
        <v>0</v>
      </c>
      <c r="AE800">
        <v>0</v>
      </c>
      <c r="AF800">
        <v>0</v>
      </c>
      <c r="AG800">
        <v>0</v>
      </c>
      <c r="AH800">
        <v>0</v>
      </c>
      <c r="AI800">
        <v>0</v>
      </c>
      <c r="AJ800">
        <v>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63.79</v>
      </c>
      <c r="AR800">
        <v>0</v>
      </c>
      <c r="AS800">
        <v>0</v>
      </c>
      <c r="AT800">
        <v>0</v>
      </c>
      <c r="AU800">
        <v>0</v>
      </c>
      <c r="AV800">
        <v>0</v>
      </c>
      <c r="AW800">
        <v>0</v>
      </c>
      <c r="AX800">
        <v>0</v>
      </c>
      <c r="AY800">
        <v>0</v>
      </c>
      <c r="AZ800">
        <v>0</v>
      </c>
      <c r="BA800">
        <v>0</v>
      </c>
      <c r="BB800">
        <v>0</v>
      </c>
      <c r="BC800">
        <v>0</v>
      </c>
      <c r="BD800">
        <v>0</v>
      </c>
      <c r="BE800">
        <v>0</v>
      </c>
      <c r="BF800">
        <v>0</v>
      </c>
      <c r="BG800">
        <v>0</v>
      </c>
      <c r="BH800">
        <v>1</v>
      </c>
      <c r="BI800">
        <v>2</v>
      </c>
      <c r="BJ800">
        <v>5</v>
      </c>
      <c r="BK800">
        <v>5</v>
      </c>
      <c r="BL800">
        <v>190.11</v>
      </c>
      <c r="BM800">
        <v>28.52</v>
      </c>
      <c r="BN800">
        <v>218.63</v>
      </c>
      <c r="BO800">
        <v>218.63</v>
      </c>
      <c r="BQ800" t="s">
        <v>1054</v>
      </c>
      <c r="BR800" t="s">
        <v>82</v>
      </c>
      <c r="BS800" s="3">
        <v>46000</v>
      </c>
      <c r="BT800" s="4">
        <v>0.50763888888888886</v>
      </c>
      <c r="BU800" t="s">
        <v>1576</v>
      </c>
      <c r="BV800" t="s">
        <v>87</v>
      </c>
      <c r="BY800">
        <v>24882</v>
      </c>
      <c r="CA800" t="s">
        <v>794</v>
      </c>
      <c r="CC800" t="s">
        <v>190</v>
      </c>
      <c r="CD800">
        <v>3201</v>
      </c>
      <c r="CE800" t="s">
        <v>86</v>
      </c>
      <c r="CF800" s="3">
        <v>46000</v>
      </c>
      <c r="CI800">
        <v>1</v>
      </c>
      <c r="CJ800">
        <v>2</v>
      </c>
      <c r="CK800">
        <v>21</v>
      </c>
      <c r="CL800" t="s">
        <v>87</v>
      </c>
    </row>
    <row r="801" spans="1:90" x14ac:dyDescent="0.3">
      <c r="A801" t="s">
        <v>72</v>
      </c>
      <c r="B801" t="s">
        <v>73</v>
      </c>
      <c r="C801" t="s">
        <v>74</v>
      </c>
      <c r="E801" t="str">
        <f>"080069703531"</f>
        <v>080069703531</v>
      </c>
      <c r="F801" s="3">
        <v>45996</v>
      </c>
      <c r="G801">
        <v>202609</v>
      </c>
      <c r="H801" t="s">
        <v>75</v>
      </c>
      <c r="I801" t="s">
        <v>76</v>
      </c>
      <c r="J801" t="s">
        <v>77</v>
      </c>
      <c r="K801" t="s">
        <v>78</v>
      </c>
      <c r="L801" t="s">
        <v>156</v>
      </c>
      <c r="M801" t="s">
        <v>157</v>
      </c>
      <c r="N801" t="s">
        <v>434</v>
      </c>
      <c r="O801" t="s">
        <v>89</v>
      </c>
      <c r="P801" t="str">
        <f>"4170072215                    "</f>
        <v xml:space="preserve">4170072215                    </v>
      </c>
      <c r="Q801">
        <v>0</v>
      </c>
      <c r="R801">
        <v>0</v>
      </c>
      <c r="S801">
        <v>0</v>
      </c>
      <c r="T801">
        <v>0</v>
      </c>
      <c r="U801">
        <v>0</v>
      </c>
      <c r="V801">
        <v>0</v>
      </c>
      <c r="W801">
        <v>0</v>
      </c>
      <c r="X801">
        <v>0</v>
      </c>
      <c r="Y801">
        <v>0</v>
      </c>
      <c r="Z801">
        <v>0</v>
      </c>
      <c r="AA801">
        <v>0</v>
      </c>
      <c r="AB801">
        <v>0</v>
      </c>
      <c r="AC801">
        <v>0</v>
      </c>
      <c r="AD801">
        <v>0</v>
      </c>
      <c r="AE801">
        <v>0</v>
      </c>
      <c r="AF801">
        <v>0</v>
      </c>
      <c r="AG801">
        <v>0</v>
      </c>
      <c r="AH801">
        <v>0</v>
      </c>
      <c r="AI801">
        <v>0</v>
      </c>
      <c r="AJ801">
        <v>0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25.52</v>
      </c>
      <c r="AR801">
        <v>0</v>
      </c>
      <c r="AS801">
        <v>0</v>
      </c>
      <c r="AT801">
        <v>0</v>
      </c>
      <c r="AU801">
        <v>0</v>
      </c>
      <c r="AV801">
        <v>0</v>
      </c>
      <c r="AW801">
        <v>0</v>
      </c>
      <c r="AX801">
        <v>0</v>
      </c>
      <c r="AY801">
        <v>0</v>
      </c>
      <c r="AZ801">
        <v>0</v>
      </c>
      <c r="BA801">
        <v>0</v>
      </c>
      <c r="BB801">
        <v>0</v>
      </c>
      <c r="BC801">
        <v>0</v>
      </c>
      <c r="BD801">
        <v>0</v>
      </c>
      <c r="BE801">
        <v>0</v>
      </c>
      <c r="BF801">
        <v>0</v>
      </c>
      <c r="BG801">
        <v>0</v>
      </c>
      <c r="BH801">
        <v>1</v>
      </c>
      <c r="BI801">
        <v>1</v>
      </c>
      <c r="BJ801">
        <v>0.2</v>
      </c>
      <c r="BK801">
        <v>1</v>
      </c>
      <c r="BL801">
        <v>76.06</v>
      </c>
      <c r="BM801">
        <v>11.41</v>
      </c>
      <c r="BN801">
        <v>87.47</v>
      </c>
      <c r="BO801">
        <v>87.47</v>
      </c>
      <c r="BQ801" t="s">
        <v>435</v>
      </c>
      <c r="BR801" t="s">
        <v>82</v>
      </c>
      <c r="BS801" s="3">
        <v>45999</v>
      </c>
      <c r="BT801" s="4">
        <v>0.37916666666666665</v>
      </c>
      <c r="BU801" t="s">
        <v>1577</v>
      </c>
      <c r="BV801" t="s">
        <v>84</v>
      </c>
      <c r="BY801">
        <v>1200</v>
      </c>
      <c r="CA801" t="s">
        <v>264</v>
      </c>
      <c r="CC801" t="s">
        <v>157</v>
      </c>
      <c r="CD801">
        <v>7441</v>
      </c>
      <c r="CE801" t="s">
        <v>134</v>
      </c>
      <c r="CF801" s="3">
        <v>46000</v>
      </c>
      <c r="CI801">
        <v>1</v>
      </c>
      <c r="CJ801">
        <v>1</v>
      </c>
      <c r="CK801">
        <v>21</v>
      </c>
      <c r="CL801" t="s">
        <v>87</v>
      </c>
    </row>
    <row r="802" spans="1:90" x14ac:dyDescent="0.3">
      <c r="A802" t="s">
        <v>72</v>
      </c>
      <c r="B802" t="s">
        <v>73</v>
      </c>
      <c r="C802" t="s">
        <v>74</v>
      </c>
      <c r="E802" t="str">
        <f>"080069703555"</f>
        <v>080069703555</v>
      </c>
      <c r="F802" s="3">
        <v>45996</v>
      </c>
      <c r="G802">
        <v>202609</v>
      </c>
      <c r="H802" t="s">
        <v>75</v>
      </c>
      <c r="I802" t="s">
        <v>76</v>
      </c>
      <c r="J802" t="s">
        <v>77</v>
      </c>
      <c r="K802" t="s">
        <v>78</v>
      </c>
      <c r="L802" t="s">
        <v>94</v>
      </c>
      <c r="M802" t="s">
        <v>95</v>
      </c>
      <c r="N802" t="s">
        <v>230</v>
      </c>
      <c r="O802" t="s">
        <v>89</v>
      </c>
      <c r="P802" t="str">
        <f>"4170072105                    "</f>
        <v xml:space="preserve">4170072105                    </v>
      </c>
      <c r="Q802">
        <v>0</v>
      </c>
      <c r="R802">
        <v>0</v>
      </c>
      <c r="S802">
        <v>0</v>
      </c>
      <c r="T802">
        <v>0</v>
      </c>
      <c r="U802">
        <v>0</v>
      </c>
      <c r="V802">
        <v>0</v>
      </c>
      <c r="W802">
        <v>0</v>
      </c>
      <c r="X802">
        <v>0</v>
      </c>
      <c r="Y802">
        <v>0</v>
      </c>
      <c r="Z802">
        <v>0</v>
      </c>
      <c r="AA802">
        <v>0</v>
      </c>
      <c r="AB802">
        <v>0</v>
      </c>
      <c r="AC802">
        <v>0</v>
      </c>
      <c r="AD802">
        <v>0</v>
      </c>
      <c r="AE802">
        <v>0</v>
      </c>
      <c r="AF802">
        <v>0</v>
      </c>
      <c r="AG802">
        <v>0</v>
      </c>
      <c r="AH802">
        <v>0</v>
      </c>
      <c r="AI802">
        <v>0</v>
      </c>
      <c r="AJ802">
        <v>0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25.52</v>
      </c>
      <c r="AR802">
        <v>0</v>
      </c>
      <c r="AS802">
        <v>0</v>
      </c>
      <c r="AT802">
        <v>0</v>
      </c>
      <c r="AU802">
        <v>0</v>
      </c>
      <c r="AV802">
        <v>0</v>
      </c>
      <c r="AW802">
        <v>0</v>
      </c>
      <c r="AX802">
        <v>0</v>
      </c>
      <c r="AY802">
        <v>0</v>
      </c>
      <c r="AZ802">
        <v>0</v>
      </c>
      <c r="BA802">
        <v>0</v>
      </c>
      <c r="BB802">
        <v>0</v>
      </c>
      <c r="BC802">
        <v>0</v>
      </c>
      <c r="BD802">
        <v>0</v>
      </c>
      <c r="BE802">
        <v>0</v>
      </c>
      <c r="BF802">
        <v>0</v>
      </c>
      <c r="BG802">
        <v>0</v>
      </c>
      <c r="BH802">
        <v>1</v>
      </c>
      <c r="BI802">
        <v>1</v>
      </c>
      <c r="BJ802">
        <v>0.2</v>
      </c>
      <c r="BK802">
        <v>1</v>
      </c>
      <c r="BL802">
        <v>76.06</v>
      </c>
      <c r="BM802">
        <v>11.41</v>
      </c>
      <c r="BN802">
        <v>87.47</v>
      </c>
      <c r="BO802">
        <v>87.47</v>
      </c>
      <c r="BQ802" t="s">
        <v>231</v>
      </c>
      <c r="BR802" t="s">
        <v>82</v>
      </c>
      <c r="BS802" s="3">
        <v>45999</v>
      </c>
      <c r="BT802" s="4">
        <v>0.39652777777777776</v>
      </c>
      <c r="BU802" t="s">
        <v>1001</v>
      </c>
      <c r="BV802" t="s">
        <v>84</v>
      </c>
      <c r="BY802">
        <v>1200</v>
      </c>
      <c r="CA802" t="s">
        <v>99</v>
      </c>
      <c r="CC802" t="s">
        <v>95</v>
      </c>
      <c r="CD802">
        <v>3608</v>
      </c>
      <c r="CE802" t="s">
        <v>134</v>
      </c>
      <c r="CF802" s="3">
        <v>45999</v>
      </c>
      <c r="CI802">
        <v>1</v>
      </c>
      <c r="CJ802">
        <v>1</v>
      </c>
      <c r="CK802">
        <v>21</v>
      </c>
      <c r="CL802" t="s">
        <v>87</v>
      </c>
    </row>
    <row r="803" spans="1:90" x14ac:dyDescent="0.3">
      <c r="A803" t="s">
        <v>72</v>
      </c>
      <c r="B803" t="s">
        <v>73</v>
      </c>
      <c r="C803" t="s">
        <v>74</v>
      </c>
      <c r="E803" t="str">
        <f>"080069703544"</f>
        <v>080069703544</v>
      </c>
      <c r="F803" s="3">
        <v>45996</v>
      </c>
      <c r="G803">
        <v>202609</v>
      </c>
      <c r="H803" t="s">
        <v>75</v>
      </c>
      <c r="I803" t="s">
        <v>76</v>
      </c>
      <c r="J803" t="s">
        <v>77</v>
      </c>
      <c r="K803" t="s">
        <v>78</v>
      </c>
      <c r="L803" t="s">
        <v>156</v>
      </c>
      <c r="M803" t="s">
        <v>157</v>
      </c>
      <c r="N803" t="s">
        <v>880</v>
      </c>
      <c r="O803" t="s">
        <v>80</v>
      </c>
      <c r="P803" t="str">
        <f>"4170072043                    "</f>
        <v xml:space="preserve">4170072043                    </v>
      </c>
      <c r="Q803">
        <v>0</v>
      </c>
      <c r="R803">
        <v>0</v>
      </c>
      <c r="S803">
        <v>0</v>
      </c>
      <c r="T803">
        <v>0</v>
      </c>
      <c r="U803">
        <v>0</v>
      </c>
      <c r="V803">
        <v>0</v>
      </c>
      <c r="W803">
        <v>0</v>
      </c>
      <c r="X803">
        <v>0</v>
      </c>
      <c r="Y803">
        <v>0</v>
      </c>
      <c r="Z803">
        <v>0</v>
      </c>
      <c r="AA803">
        <v>0</v>
      </c>
      <c r="AB803">
        <v>0</v>
      </c>
      <c r="AC803">
        <v>0</v>
      </c>
      <c r="AD803">
        <v>0</v>
      </c>
      <c r="AE803">
        <v>0</v>
      </c>
      <c r="AF803">
        <v>0</v>
      </c>
      <c r="AG803">
        <v>0</v>
      </c>
      <c r="AH803">
        <v>0</v>
      </c>
      <c r="AI803">
        <v>0</v>
      </c>
      <c r="AJ803">
        <v>0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55.48</v>
      </c>
      <c r="AR803">
        <v>0</v>
      </c>
      <c r="AS803">
        <v>0</v>
      </c>
      <c r="AT803">
        <v>0</v>
      </c>
      <c r="AU803">
        <v>0</v>
      </c>
      <c r="AV803">
        <v>0</v>
      </c>
      <c r="AW803">
        <v>0</v>
      </c>
      <c r="AX803">
        <v>0</v>
      </c>
      <c r="AY803">
        <v>0</v>
      </c>
      <c r="AZ803">
        <v>0</v>
      </c>
      <c r="BA803">
        <v>0</v>
      </c>
      <c r="BB803">
        <v>0</v>
      </c>
      <c r="BC803">
        <v>0</v>
      </c>
      <c r="BD803">
        <v>0</v>
      </c>
      <c r="BE803">
        <v>0</v>
      </c>
      <c r="BF803">
        <v>0</v>
      </c>
      <c r="BG803">
        <v>0</v>
      </c>
      <c r="BH803">
        <v>1</v>
      </c>
      <c r="BI803">
        <v>10</v>
      </c>
      <c r="BJ803">
        <v>17.7</v>
      </c>
      <c r="BK803">
        <v>18</v>
      </c>
      <c r="BL803">
        <v>171.44</v>
      </c>
      <c r="BM803">
        <v>25.72</v>
      </c>
      <c r="BN803">
        <v>197.16</v>
      </c>
      <c r="BO803">
        <v>197.16</v>
      </c>
      <c r="BQ803" t="s">
        <v>881</v>
      </c>
      <c r="BR803" t="s">
        <v>82</v>
      </c>
      <c r="BS803" s="3">
        <v>46000</v>
      </c>
      <c r="BT803" s="4">
        <v>0.62152777777777779</v>
      </c>
      <c r="BU803" t="s">
        <v>1578</v>
      </c>
      <c r="BV803" t="s">
        <v>84</v>
      </c>
      <c r="BY803">
        <v>88320</v>
      </c>
      <c r="CA803" t="s">
        <v>668</v>
      </c>
      <c r="CC803" t="s">
        <v>157</v>
      </c>
      <c r="CD803">
        <v>7550</v>
      </c>
      <c r="CE803" t="s">
        <v>86</v>
      </c>
      <c r="CF803" s="3">
        <v>46001</v>
      </c>
      <c r="CI803">
        <v>3</v>
      </c>
      <c r="CJ803">
        <v>2</v>
      </c>
      <c r="CK803">
        <v>41</v>
      </c>
      <c r="CL803" t="s">
        <v>87</v>
      </c>
    </row>
    <row r="804" spans="1:90" x14ac:dyDescent="0.3">
      <c r="A804" t="s">
        <v>72</v>
      </c>
      <c r="B804" t="s">
        <v>73</v>
      </c>
      <c r="C804" t="s">
        <v>74</v>
      </c>
      <c r="E804" t="str">
        <f>"080069703571"</f>
        <v>080069703571</v>
      </c>
      <c r="F804" s="3">
        <v>45996</v>
      </c>
      <c r="G804">
        <v>202609</v>
      </c>
      <c r="H804" t="s">
        <v>75</v>
      </c>
      <c r="I804" t="s">
        <v>76</v>
      </c>
      <c r="J804" t="s">
        <v>77</v>
      </c>
      <c r="K804" t="s">
        <v>78</v>
      </c>
      <c r="L804" t="s">
        <v>458</v>
      </c>
      <c r="M804" t="s">
        <v>459</v>
      </c>
      <c r="N804" t="s">
        <v>460</v>
      </c>
      <c r="O804" t="s">
        <v>89</v>
      </c>
      <c r="P804" t="str">
        <f>"4170072114                    "</f>
        <v xml:space="preserve">4170072114                    </v>
      </c>
      <c r="Q804">
        <v>0</v>
      </c>
      <c r="R804">
        <v>0</v>
      </c>
      <c r="S804">
        <v>0</v>
      </c>
      <c r="T804">
        <v>0</v>
      </c>
      <c r="U804">
        <v>0</v>
      </c>
      <c r="V804">
        <v>0</v>
      </c>
      <c r="W804">
        <v>0</v>
      </c>
      <c r="X804">
        <v>0</v>
      </c>
      <c r="Y804">
        <v>0</v>
      </c>
      <c r="Z804">
        <v>0</v>
      </c>
      <c r="AA804">
        <v>0</v>
      </c>
      <c r="AB804">
        <v>0</v>
      </c>
      <c r="AC804">
        <v>0</v>
      </c>
      <c r="AD804">
        <v>0</v>
      </c>
      <c r="AE804">
        <v>0</v>
      </c>
      <c r="AF804">
        <v>0</v>
      </c>
      <c r="AG804">
        <v>0</v>
      </c>
      <c r="AH804">
        <v>0</v>
      </c>
      <c r="AI804">
        <v>0</v>
      </c>
      <c r="AJ804">
        <v>0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49.45</v>
      </c>
      <c r="AR804">
        <v>0</v>
      </c>
      <c r="AS804">
        <v>0</v>
      </c>
      <c r="AT804">
        <v>0</v>
      </c>
      <c r="AU804">
        <v>0</v>
      </c>
      <c r="AV804">
        <v>0</v>
      </c>
      <c r="AW804">
        <v>0</v>
      </c>
      <c r="AX804">
        <v>0</v>
      </c>
      <c r="AY804">
        <v>0</v>
      </c>
      <c r="AZ804">
        <v>0</v>
      </c>
      <c r="BA804">
        <v>0</v>
      </c>
      <c r="BB804">
        <v>0</v>
      </c>
      <c r="BC804">
        <v>0</v>
      </c>
      <c r="BD804">
        <v>0</v>
      </c>
      <c r="BE804">
        <v>0</v>
      </c>
      <c r="BF804">
        <v>0</v>
      </c>
      <c r="BG804">
        <v>0</v>
      </c>
      <c r="BH804">
        <v>1</v>
      </c>
      <c r="BI804">
        <v>1</v>
      </c>
      <c r="BJ804">
        <v>0.2</v>
      </c>
      <c r="BK804">
        <v>1</v>
      </c>
      <c r="BL804">
        <v>147.38</v>
      </c>
      <c r="BM804">
        <v>22.11</v>
      </c>
      <c r="BN804">
        <v>169.49</v>
      </c>
      <c r="BO804">
        <v>169.49</v>
      </c>
      <c r="BQ804" t="s">
        <v>461</v>
      </c>
      <c r="BR804" t="s">
        <v>82</v>
      </c>
      <c r="BS804" s="3">
        <v>45999</v>
      </c>
      <c r="BT804" s="4">
        <v>0.54027777777777775</v>
      </c>
      <c r="BU804" t="s">
        <v>462</v>
      </c>
      <c r="BV804" t="s">
        <v>84</v>
      </c>
      <c r="BY804">
        <v>1200</v>
      </c>
      <c r="CA804" t="s">
        <v>463</v>
      </c>
      <c r="CC804" t="s">
        <v>459</v>
      </c>
      <c r="CD804">
        <v>7130</v>
      </c>
      <c r="CE804" t="s">
        <v>134</v>
      </c>
      <c r="CF804" s="3">
        <v>46000</v>
      </c>
      <c r="CI804">
        <v>1</v>
      </c>
      <c r="CJ804">
        <v>1</v>
      </c>
      <c r="CK804">
        <v>23</v>
      </c>
      <c r="CL804" t="s">
        <v>87</v>
      </c>
    </row>
    <row r="805" spans="1:90" x14ac:dyDescent="0.3">
      <c r="A805" t="s">
        <v>72</v>
      </c>
      <c r="B805" t="s">
        <v>73</v>
      </c>
      <c r="C805" t="s">
        <v>74</v>
      </c>
      <c r="E805" t="str">
        <f>"080069703575"</f>
        <v>080069703575</v>
      </c>
      <c r="F805" s="3">
        <v>45996</v>
      </c>
      <c r="G805">
        <v>202609</v>
      </c>
      <c r="H805" t="s">
        <v>75</v>
      </c>
      <c r="I805" t="s">
        <v>76</v>
      </c>
      <c r="J805" t="s">
        <v>77</v>
      </c>
      <c r="K805" t="s">
        <v>78</v>
      </c>
      <c r="L805" t="s">
        <v>332</v>
      </c>
      <c r="M805" t="s">
        <v>333</v>
      </c>
      <c r="N805" t="s">
        <v>334</v>
      </c>
      <c r="O805" t="s">
        <v>89</v>
      </c>
      <c r="P805" t="str">
        <f>"4170072070                    "</f>
        <v xml:space="preserve">4170072070                    </v>
      </c>
      <c r="Q805">
        <v>0</v>
      </c>
      <c r="R805">
        <v>0</v>
      </c>
      <c r="S805">
        <v>0</v>
      </c>
      <c r="T805">
        <v>0</v>
      </c>
      <c r="U805">
        <v>0</v>
      </c>
      <c r="V805">
        <v>0</v>
      </c>
      <c r="W805">
        <v>0</v>
      </c>
      <c r="X805">
        <v>0</v>
      </c>
      <c r="Y805">
        <v>0</v>
      </c>
      <c r="Z805">
        <v>0</v>
      </c>
      <c r="AA805">
        <v>0</v>
      </c>
      <c r="AB805">
        <v>0</v>
      </c>
      <c r="AC805">
        <v>0</v>
      </c>
      <c r="AD805">
        <v>0</v>
      </c>
      <c r="AE805">
        <v>0</v>
      </c>
      <c r="AF805">
        <v>0</v>
      </c>
      <c r="AG805">
        <v>0</v>
      </c>
      <c r="AH805">
        <v>0</v>
      </c>
      <c r="AI805">
        <v>0</v>
      </c>
      <c r="AJ805">
        <v>0</v>
      </c>
      <c r="AK805">
        <v>0</v>
      </c>
      <c r="AL805">
        <v>0</v>
      </c>
      <c r="AM805">
        <v>0</v>
      </c>
      <c r="AN805">
        <v>0</v>
      </c>
      <c r="AO805">
        <v>0</v>
      </c>
      <c r="AP805">
        <v>0</v>
      </c>
      <c r="AQ805">
        <v>161.11000000000001</v>
      </c>
      <c r="AR805">
        <v>0</v>
      </c>
      <c r="AS805">
        <v>0</v>
      </c>
      <c r="AT805">
        <v>0</v>
      </c>
      <c r="AU805">
        <v>0</v>
      </c>
      <c r="AV805">
        <v>0</v>
      </c>
      <c r="AW805">
        <v>0</v>
      </c>
      <c r="AX805">
        <v>0</v>
      </c>
      <c r="AY805">
        <v>0</v>
      </c>
      <c r="AZ805">
        <v>0</v>
      </c>
      <c r="BA805">
        <v>0</v>
      </c>
      <c r="BB805">
        <v>0</v>
      </c>
      <c r="BC805">
        <v>0</v>
      </c>
      <c r="BD805">
        <v>0</v>
      </c>
      <c r="BE805">
        <v>0</v>
      </c>
      <c r="BF805">
        <v>0</v>
      </c>
      <c r="BG805">
        <v>0</v>
      </c>
      <c r="BH805">
        <v>1</v>
      </c>
      <c r="BI805">
        <v>5</v>
      </c>
      <c r="BJ805">
        <v>6.6</v>
      </c>
      <c r="BK805">
        <v>7</v>
      </c>
      <c r="BL805">
        <v>480.14</v>
      </c>
      <c r="BM805">
        <v>72.02</v>
      </c>
      <c r="BN805">
        <v>552.16</v>
      </c>
      <c r="BO805">
        <v>552.16</v>
      </c>
      <c r="BQ805" t="s">
        <v>335</v>
      </c>
      <c r="BR805" t="s">
        <v>82</v>
      </c>
      <c r="BS805" s="3">
        <v>45999</v>
      </c>
      <c r="BT805" s="4">
        <v>0.59097222222222223</v>
      </c>
      <c r="BU805" t="s">
        <v>336</v>
      </c>
      <c r="BV805" t="s">
        <v>84</v>
      </c>
      <c r="BY805">
        <v>32928</v>
      </c>
      <c r="CA805">
        <v>9512195092080</v>
      </c>
      <c r="CC805" t="s">
        <v>333</v>
      </c>
      <c r="CD805">
        <v>6500</v>
      </c>
      <c r="CE805" t="s">
        <v>93</v>
      </c>
      <c r="CF805" s="3">
        <v>46000</v>
      </c>
      <c r="CI805">
        <v>1</v>
      </c>
      <c r="CJ805">
        <v>1</v>
      </c>
      <c r="CK805">
        <v>23</v>
      </c>
      <c r="CL805" t="s">
        <v>87</v>
      </c>
    </row>
    <row r="806" spans="1:90" x14ac:dyDescent="0.3">
      <c r="A806" t="s">
        <v>72</v>
      </c>
      <c r="B806" t="s">
        <v>73</v>
      </c>
      <c r="C806" t="s">
        <v>74</v>
      </c>
      <c r="E806" t="str">
        <f>"080069703610"</f>
        <v>080069703610</v>
      </c>
      <c r="F806" s="3">
        <v>45996</v>
      </c>
      <c r="G806">
        <v>202609</v>
      </c>
      <c r="H806" t="s">
        <v>75</v>
      </c>
      <c r="I806" t="s">
        <v>76</v>
      </c>
      <c r="J806" t="s">
        <v>77</v>
      </c>
      <c r="K806" t="s">
        <v>78</v>
      </c>
      <c r="L806" t="s">
        <v>302</v>
      </c>
      <c r="M806" t="s">
        <v>303</v>
      </c>
      <c r="N806" t="s">
        <v>425</v>
      </c>
      <c r="O806" t="s">
        <v>80</v>
      </c>
      <c r="P806" t="str">
        <f>"4170072107                    "</f>
        <v xml:space="preserve">4170072107                    </v>
      </c>
      <c r="Q806">
        <v>0</v>
      </c>
      <c r="R806">
        <v>0</v>
      </c>
      <c r="S806">
        <v>0</v>
      </c>
      <c r="T806">
        <v>0</v>
      </c>
      <c r="U806">
        <v>0</v>
      </c>
      <c r="V806">
        <v>0</v>
      </c>
      <c r="W806">
        <v>0</v>
      </c>
      <c r="X806">
        <v>0</v>
      </c>
      <c r="Y806">
        <v>0</v>
      </c>
      <c r="Z806">
        <v>0</v>
      </c>
      <c r="AA806">
        <v>0</v>
      </c>
      <c r="AB806">
        <v>0</v>
      </c>
      <c r="AC806">
        <v>0</v>
      </c>
      <c r="AD806">
        <v>0</v>
      </c>
      <c r="AE806">
        <v>0</v>
      </c>
      <c r="AF806">
        <v>0</v>
      </c>
      <c r="AG806">
        <v>0</v>
      </c>
      <c r="AH806">
        <v>0</v>
      </c>
      <c r="AI806">
        <v>0</v>
      </c>
      <c r="AJ806">
        <v>0</v>
      </c>
      <c r="AK806">
        <v>0</v>
      </c>
      <c r="AL806">
        <v>0</v>
      </c>
      <c r="AM806">
        <v>0</v>
      </c>
      <c r="AN806">
        <v>0</v>
      </c>
      <c r="AO806">
        <v>0</v>
      </c>
      <c r="AP806">
        <v>0</v>
      </c>
      <c r="AQ806">
        <v>49.36</v>
      </c>
      <c r="AR806">
        <v>0</v>
      </c>
      <c r="AS806">
        <v>0</v>
      </c>
      <c r="AT806">
        <v>0</v>
      </c>
      <c r="AU806">
        <v>0</v>
      </c>
      <c r="AV806">
        <v>0</v>
      </c>
      <c r="AW806">
        <v>0</v>
      </c>
      <c r="AX806">
        <v>0</v>
      </c>
      <c r="AY806">
        <v>0</v>
      </c>
      <c r="AZ806">
        <v>0</v>
      </c>
      <c r="BA806">
        <v>0</v>
      </c>
      <c r="BB806">
        <v>0</v>
      </c>
      <c r="BC806">
        <v>0</v>
      </c>
      <c r="BD806">
        <v>0</v>
      </c>
      <c r="BE806">
        <v>0</v>
      </c>
      <c r="BF806">
        <v>0</v>
      </c>
      <c r="BG806">
        <v>0</v>
      </c>
      <c r="BH806">
        <v>1</v>
      </c>
      <c r="BI806">
        <v>3.5</v>
      </c>
      <c r="BJ806">
        <v>6.3</v>
      </c>
      <c r="BK806">
        <v>7</v>
      </c>
      <c r="BL806">
        <v>153.19999999999999</v>
      </c>
      <c r="BM806">
        <v>22.98</v>
      </c>
      <c r="BN806">
        <v>176.18</v>
      </c>
      <c r="BO806">
        <v>176.18</v>
      </c>
      <c r="BQ806" t="s">
        <v>426</v>
      </c>
      <c r="BR806" t="s">
        <v>82</v>
      </c>
      <c r="BS806" s="3">
        <v>45999</v>
      </c>
      <c r="BT806" s="4">
        <v>0.30138888888888887</v>
      </c>
      <c r="BU806" t="s">
        <v>524</v>
      </c>
      <c r="BV806" t="s">
        <v>84</v>
      </c>
      <c r="BY806">
        <v>31660.46</v>
      </c>
      <c r="CA806">
        <v>7712195338085</v>
      </c>
      <c r="CC806" t="s">
        <v>303</v>
      </c>
      <c r="CD806" s="5" t="s">
        <v>350</v>
      </c>
      <c r="CE806" t="s">
        <v>93</v>
      </c>
      <c r="CF806" s="3">
        <v>45999</v>
      </c>
      <c r="CI806">
        <v>1</v>
      </c>
      <c r="CJ806">
        <v>1</v>
      </c>
      <c r="CK806">
        <v>41</v>
      </c>
      <c r="CL806" t="s">
        <v>87</v>
      </c>
    </row>
    <row r="807" spans="1:90" x14ac:dyDescent="0.3">
      <c r="A807" t="s">
        <v>72</v>
      </c>
      <c r="B807" t="s">
        <v>73</v>
      </c>
      <c r="C807" t="s">
        <v>74</v>
      </c>
      <c r="E807" t="str">
        <f>"080069703848"</f>
        <v>080069703848</v>
      </c>
      <c r="F807" s="3">
        <v>45996</v>
      </c>
      <c r="G807">
        <v>202609</v>
      </c>
      <c r="H807" t="s">
        <v>75</v>
      </c>
      <c r="I807" t="s">
        <v>76</v>
      </c>
      <c r="J807" t="s">
        <v>77</v>
      </c>
      <c r="K807" t="s">
        <v>78</v>
      </c>
      <c r="L807" t="s">
        <v>156</v>
      </c>
      <c r="M807" t="s">
        <v>157</v>
      </c>
      <c r="N807" t="s">
        <v>964</v>
      </c>
      <c r="O807" t="s">
        <v>89</v>
      </c>
      <c r="P807" t="str">
        <f>"4170072044                    "</f>
        <v xml:space="preserve">4170072044                    </v>
      </c>
      <c r="Q807">
        <v>0</v>
      </c>
      <c r="R807">
        <v>0</v>
      </c>
      <c r="S807">
        <v>0</v>
      </c>
      <c r="T807">
        <v>0</v>
      </c>
      <c r="U807">
        <v>0</v>
      </c>
      <c r="V807">
        <v>0</v>
      </c>
      <c r="W807">
        <v>0</v>
      </c>
      <c r="X807">
        <v>0</v>
      </c>
      <c r="Y807">
        <v>0</v>
      </c>
      <c r="Z807">
        <v>0</v>
      </c>
      <c r="AA807">
        <v>0</v>
      </c>
      <c r="AB807">
        <v>0</v>
      </c>
      <c r="AC807">
        <v>0</v>
      </c>
      <c r="AD807">
        <v>0</v>
      </c>
      <c r="AE807">
        <v>0</v>
      </c>
      <c r="AF807">
        <v>0</v>
      </c>
      <c r="AG807">
        <v>0</v>
      </c>
      <c r="AH807">
        <v>0</v>
      </c>
      <c r="AI807">
        <v>0</v>
      </c>
      <c r="AJ807">
        <v>0</v>
      </c>
      <c r="AK807">
        <v>0</v>
      </c>
      <c r="AL807">
        <v>0</v>
      </c>
      <c r="AM807">
        <v>0</v>
      </c>
      <c r="AN807">
        <v>0</v>
      </c>
      <c r="AO807">
        <v>0</v>
      </c>
      <c r="AP807">
        <v>0</v>
      </c>
      <c r="AQ807">
        <v>146.71</v>
      </c>
      <c r="AR807">
        <v>0</v>
      </c>
      <c r="AS807">
        <v>0</v>
      </c>
      <c r="AT807">
        <v>0</v>
      </c>
      <c r="AU807">
        <v>0</v>
      </c>
      <c r="AV807">
        <v>0</v>
      </c>
      <c r="AW807">
        <v>0</v>
      </c>
      <c r="AX807">
        <v>0</v>
      </c>
      <c r="AY807">
        <v>0</v>
      </c>
      <c r="AZ807">
        <v>0</v>
      </c>
      <c r="BA807">
        <v>0</v>
      </c>
      <c r="BB807">
        <v>0</v>
      </c>
      <c r="BC807">
        <v>0</v>
      </c>
      <c r="BD807">
        <v>0</v>
      </c>
      <c r="BE807">
        <v>0</v>
      </c>
      <c r="BF807">
        <v>0</v>
      </c>
      <c r="BG807">
        <v>0</v>
      </c>
      <c r="BH807">
        <v>1</v>
      </c>
      <c r="BI807">
        <v>5</v>
      </c>
      <c r="BJ807">
        <v>11.5</v>
      </c>
      <c r="BK807">
        <v>11.5</v>
      </c>
      <c r="BL807">
        <v>437.22</v>
      </c>
      <c r="BM807">
        <v>65.58</v>
      </c>
      <c r="BN807">
        <v>502.8</v>
      </c>
      <c r="BO807">
        <v>502.8</v>
      </c>
      <c r="BQ807" t="s">
        <v>965</v>
      </c>
      <c r="BR807" t="s">
        <v>82</v>
      </c>
      <c r="BS807" s="3">
        <v>45999</v>
      </c>
      <c r="BT807" s="4">
        <v>0.43680555555555556</v>
      </c>
      <c r="BU807" t="s">
        <v>1494</v>
      </c>
      <c r="BV807" t="s">
        <v>84</v>
      </c>
      <c r="BY807">
        <v>57400</v>
      </c>
      <c r="CA807" t="s">
        <v>967</v>
      </c>
      <c r="CC807" t="s">
        <v>157</v>
      </c>
      <c r="CD807">
        <v>7500</v>
      </c>
      <c r="CE807" t="s">
        <v>93</v>
      </c>
      <c r="CF807" s="3">
        <v>46000</v>
      </c>
      <c r="CI807">
        <v>1</v>
      </c>
      <c r="CJ807">
        <v>1</v>
      </c>
      <c r="CK807">
        <v>21</v>
      </c>
      <c r="CL807" t="s">
        <v>87</v>
      </c>
    </row>
    <row r="808" spans="1:90" x14ac:dyDescent="0.3">
      <c r="A808" t="s">
        <v>72</v>
      </c>
      <c r="B808" t="s">
        <v>73</v>
      </c>
      <c r="C808" t="s">
        <v>74</v>
      </c>
      <c r="E808" t="str">
        <f>"080069703898"</f>
        <v>080069703898</v>
      </c>
      <c r="F808" s="3">
        <v>45996</v>
      </c>
      <c r="G808">
        <v>202609</v>
      </c>
      <c r="H808" t="s">
        <v>75</v>
      </c>
      <c r="I808" t="s">
        <v>76</v>
      </c>
      <c r="J808" t="s">
        <v>77</v>
      </c>
      <c r="K808" t="s">
        <v>78</v>
      </c>
      <c r="L808" t="s">
        <v>75</v>
      </c>
      <c r="M808" t="s">
        <v>76</v>
      </c>
      <c r="N808" t="s">
        <v>88</v>
      </c>
      <c r="O808" t="s">
        <v>89</v>
      </c>
      <c r="P808" t="str">
        <f>"4170072081                    "</f>
        <v xml:space="preserve">4170072081                    </v>
      </c>
      <c r="Q808">
        <v>0</v>
      </c>
      <c r="R808">
        <v>0</v>
      </c>
      <c r="S808">
        <v>0</v>
      </c>
      <c r="T808">
        <v>0</v>
      </c>
      <c r="U808">
        <v>0</v>
      </c>
      <c r="V808">
        <v>0</v>
      </c>
      <c r="W808">
        <v>0</v>
      </c>
      <c r="X808">
        <v>0</v>
      </c>
      <c r="Y808">
        <v>0</v>
      </c>
      <c r="Z808">
        <v>0</v>
      </c>
      <c r="AA808">
        <v>0</v>
      </c>
      <c r="AB808">
        <v>0</v>
      </c>
      <c r="AC808">
        <v>0</v>
      </c>
      <c r="AD808">
        <v>0</v>
      </c>
      <c r="AE808">
        <v>0</v>
      </c>
      <c r="AF808">
        <v>0</v>
      </c>
      <c r="AG808">
        <v>0</v>
      </c>
      <c r="AH808">
        <v>0</v>
      </c>
      <c r="AI808">
        <v>0</v>
      </c>
      <c r="AJ808">
        <v>0</v>
      </c>
      <c r="AK808">
        <v>0</v>
      </c>
      <c r="AL808">
        <v>0</v>
      </c>
      <c r="AM808">
        <v>0</v>
      </c>
      <c r="AN808">
        <v>0</v>
      </c>
      <c r="AO808">
        <v>0</v>
      </c>
      <c r="AP808">
        <v>0</v>
      </c>
      <c r="AQ808">
        <v>19.940000000000001</v>
      </c>
      <c r="AR808">
        <v>0</v>
      </c>
      <c r="AS808">
        <v>0</v>
      </c>
      <c r="AT808">
        <v>0</v>
      </c>
      <c r="AU808">
        <v>0</v>
      </c>
      <c r="AV808">
        <v>0</v>
      </c>
      <c r="AW808">
        <v>0</v>
      </c>
      <c r="AX808">
        <v>0</v>
      </c>
      <c r="AY808">
        <v>0</v>
      </c>
      <c r="AZ808">
        <v>0</v>
      </c>
      <c r="BA808">
        <v>0</v>
      </c>
      <c r="BB808">
        <v>0</v>
      </c>
      <c r="BC808">
        <v>0</v>
      </c>
      <c r="BD808">
        <v>0</v>
      </c>
      <c r="BE808">
        <v>0</v>
      </c>
      <c r="BF808">
        <v>0</v>
      </c>
      <c r="BG808">
        <v>0</v>
      </c>
      <c r="BH808">
        <v>1</v>
      </c>
      <c r="BI808">
        <v>1</v>
      </c>
      <c r="BJ808">
        <v>0.9</v>
      </c>
      <c r="BK808">
        <v>1</v>
      </c>
      <c r="BL808">
        <v>59.42</v>
      </c>
      <c r="BM808">
        <v>8.91</v>
      </c>
      <c r="BN808">
        <v>68.33</v>
      </c>
      <c r="BO808">
        <v>68.33</v>
      </c>
      <c r="BQ808" t="s">
        <v>90</v>
      </c>
      <c r="BR808" t="s">
        <v>82</v>
      </c>
      <c r="BS808" s="3">
        <v>45999</v>
      </c>
      <c r="BT808" s="4">
        <v>0.2986111111111111</v>
      </c>
      <c r="BU808" t="s">
        <v>1288</v>
      </c>
      <c r="BV808" t="s">
        <v>84</v>
      </c>
      <c r="BY808">
        <v>4500</v>
      </c>
      <c r="CA808" t="s">
        <v>92</v>
      </c>
      <c r="CC808" t="s">
        <v>76</v>
      </c>
      <c r="CD808">
        <v>1600</v>
      </c>
      <c r="CE808" t="s">
        <v>93</v>
      </c>
      <c r="CF808" s="3">
        <v>45999</v>
      </c>
      <c r="CI808">
        <v>1</v>
      </c>
      <c r="CJ808">
        <v>1</v>
      </c>
      <c r="CK808">
        <v>22</v>
      </c>
      <c r="CL808" t="s">
        <v>87</v>
      </c>
    </row>
    <row r="809" spans="1:90" x14ac:dyDescent="0.3">
      <c r="A809" t="s">
        <v>72</v>
      </c>
      <c r="B809" t="s">
        <v>73</v>
      </c>
      <c r="C809" t="s">
        <v>74</v>
      </c>
      <c r="E809" t="str">
        <f>"080069703892"</f>
        <v>080069703892</v>
      </c>
      <c r="F809" s="3">
        <v>45996</v>
      </c>
      <c r="G809">
        <v>202609</v>
      </c>
      <c r="H809" t="s">
        <v>75</v>
      </c>
      <c r="I809" t="s">
        <v>76</v>
      </c>
      <c r="J809" t="s">
        <v>77</v>
      </c>
      <c r="K809" t="s">
        <v>78</v>
      </c>
      <c r="L809" t="s">
        <v>100</v>
      </c>
      <c r="M809" t="s">
        <v>101</v>
      </c>
      <c r="N809" t="s">
        <v>1579</v>
      </c>
      <c r="O809" t="s">
        <v>89</v>
      </c>
      <c r="P809" t="str">
        <f>"4170072067                    "</f>
        <v xml:space="preserve">4170072067                    </v>
      </c>
      <c r="Q809">
        <v>0</v>
      </c>
      <c r="R809">
        <v>0</v>
      </c>
      <c r="S809">
        <v>0</v>
      </c>
      <c r="T809">
        <v>0</v>
      </c>
      <c r="U809">
        <v>0</v>
      </c>
      <c r="V809">
        <v>0</v>
      </c>
      <c r="W809">
        <v>0</v>
      </c>
      <c r="X809">
        <v>0</v>
      </c>
      <c r="Y809">
        <v>0</v>
      </c>
      <c r="Z809">
        <v>0</v>
      </c>
      <c r="AA809">
        <v>0</v>
      </c>
      <c r="AB809">
        <v>0</v>
      </c>
      <c r="AC809">
        <v>0</v>
      </c>
      <c r="AD809">
        <v>0</v>
      </c>
      <c r="AE809">
        <v>0</v>
      </c>
      <c r="AF809">
        <v>0</v>
      </c>
      <c r="AG809">
        <v>0</v>
      </c>
      <c r="AH809">
        <v>0</v>
      </c>
      <c r="AI809">
        <v>0</v>
      </c>
      <c r="AJ809">
        <v>0</v>
      </c>
      <c r="AK809">
        <v>0</v>
      </c>
      <c r="AL809">
        <v>0</v>
      </c>
      <c r="AM809">
        <v>0</v>
      </c>
      <c r="AN809">
        <v>0</v>
      </c>
      <c r="AO809">
        <v>0</v>
      </c>
      <c r="AP809">
        <v>0</v>
      </c>
      <c r="AQ809">
        <v>25.52</v>
      </c>
      <c r="AR809">
        <v>0</v>
      </c>
      <c r="AS809">
        <v>0</v>
      </c>
      <c r="AT809">
        <v>0</v>
      </c>
      <c r="AU809">
        <v>0</v>
      </c>
      <c r="AV809">
        <v>0</v>
      </c>
      <c r="AW809">
        <v>0</v>
      </c>
      <c r="AX809">
        <v>0</v>
      </c>
      <c r="AY809">
        <v>0</v>
      </c>
      <c r="AZ809">
        <v>0</v>
      </c>
      <c r="BA809">
        <v>0</v>
      </c>
      <c r="BB809">
        <v>0</v>
      </c>
      <c r="BC809">
        <v>0</v>
      </c>
      <c r="BD809">
        <v>0</v>
      </c>
      <c r="BE809">
        <v>0</v>
      </c>
      <c r="BF809">
        <v>0</v>
      </c>
      <c r="BG809">
        <v>0</v>
      </c>
      <c r="BH809">
        <v>1</v>
      </c>
      <c r="BI809">
        <v>1</v>
      </c>
      <c r="BJ809">
        <v>0.2</v>
      </c>
      <c r="BK809">
        <v>1</v>
      </c>
      <c r="BL809">
        <v>76.06</v>
      </c>
      <c r="BM809">
        <v>11.41</v>
      </c>
      <c r="BN809">
        <v>87.47</v>
      </c>
      <c r="BO809">
        <v>87.47</v>
      </c>
      <c r="BQ809" t="s">
        <v>1580</v>
      </c>
      <c r="BR809" t="s">
        <v>82</v>
      </c>
      <c r="BS809" s="3">
        <v>45999</v>
      </c>
      <c r="BT809" s="4">
        <v>0.45555555555555555</v>
      </c>
      <c r="BU809" t="s">
        <v>1581</v>
      </c>
      <c r="BV809" t="s">
        <v>87</v>
      </c>
      <c r="BW809" t="s">
        <v>246</v>
      </c>
      <c r="BX809" t="s">
        <v>810</v>
      </c>
      <c r="BY809">
        <v>1200</v>
      </c>
      <c r="CA809" t="s">
        <v>1156</v>
      </c>
      <c r="CC809" t="s">
        <v>101</v>
      </c>
      <c r="CD809">
        <v>4072</v>
      </c>
      <c r="CE809" t="s">
        <v>134</v>
      </c>
      <c r="CF809" s="3">
        <v>46000</v>
      </c>
      <c r="CI809">
        <v>1</v>
      </c>
      <c r="CJ809">
        <v>1</v>
      </c>
      <c r="CK809">
        <v>21</v>
      </c>
      <c r="CL809" t="s">
        <v>87</v>
      </c>
    </row>
    <row r="810" spans="1:90" x14ac:dyDescent="0.3">
      <c r="A810" t="s">
        <v>72</v>
      </c>
      <c r="B810" t="s">
        <v>73</v>
      </c>
      <c r="C810" t="s">
        <v>74</v>
      </c>
      <c r="E810" t="str">
        <f>"080069703937"</f>
        <v>080069703937</v>
      </c>
      <c r="F810" s="3">
        <v>45996</v>
      </c>
      <c r="G810">
        <v>202609</v>
      </c>
      <c r="H810" t="s">
        <v>75</v>
      </c>
      <c r="I810" t="s">
        <v>76</v>
      </c>
      <c r="J810" t="s">
        <v>77</v>
      </c>
      <c r="K810" t="s">
        <v>78</v>
      </c>
      <c r="L810" t="s">
        <v>575</v>
      </c>
      <c r="M810" t="s">
        <v>576</v>
      </c>
      <c r="N810" t="s">
        <v>887</v>
      </c>
      <c r="O810" t="s">
        <v>89</v>
      </c>
      <c r="P810" t="str">
        <f>"4170072188                    "</f>
        <v xml:space="preserve">4170072188                    </v>
      </c>
      <c r="Q810">
        <v>0</v>
      </c>
      <c r="R810">
        <v>0</v>
      </c>
      <c r="S810">
        <v>0</v>
      </c>
      <c r="T810">
        <v>0</v>
      </c>
      <c r="U810">
        <v>0</v>
      </c>
      <c r="V810">
        <v>0</v>
      </c>
      <c r="W810">
        <v>0</v>
      </c>
      <c r="X810">
        <v>0</v>
      </c>
      <c r="Y810">
        <v>0</v>
      </c>
      <c r="Z810">
        <v>0</v>
      </c>
      <c r="AA810">
        <v>0</v>
      </c>
      <c r="AB810">
        <v>0</v>
      </c>
      <c r="AC810">
        <v>0</v>
      </c>
      <c r="AD810">
        <v>0</v>
      </c>
      <c r="AE810">
        <v>0</v>
      </c>
      <c r="AF810">
        <v>0</v>
      </c>
      <c r="AG810">
        <v>0</v>
      </c>
      <c r="AH810">
        <v>0</v>
      </c>
      <c r="AI810">
        <v>0</v>
      </c>
      <c r="AJ810">
        <v>0</v>
      </c>
      <c r="AK810">
        <v>0</v>
      </c>
      <c r="AL810">
        <v>0</v>
      </c>
      <c r="AM810">
        <v>0</v>
      </c>
      <c r="AN810">
        <v>0</v>
      </c>
      <c r="AO810">
        <v>0</v>
      </c>
      <c r="AP810">
        <v>0</v>
      </c>
      <c r="AQ810">
        <v>19.940000000000001</v>
      </c>
      <c r="AR810">
        <v>0</v>
      </c>
      <c r="AS810">
        <v>0</v>
      </c>
      <c r="AT810">
        <v>0</v>
      </c>
      <c r="AU810">
        <v>0</v>
      </c>
      <c r="AV810">
        <v>0</v>
      </c>
      <c r="AW810">
        <v>0</v>
      </c>
      <c r="AX810">
        <v>0</v>
      </c>
      <c r="AY810">
        <v>0</v>
      </c>
      <c r="AZ810">
        <v>0</v>
      </c>
      <c r="BA810">
        <v>0</v>
      </c>
      <c r="BB810">
        <v>0</v>
      </c>
      <c r="BC810">
        <v>0</v>
      </c>
      <c r="BD810">
        <v>0</v>
      </c>
      <c r="BE810">
        <v>0</v>
      </c>
      <c r="BF810">
        <v>0</v>
      </c>
      <c r="BG810">
        <v>0</v>
      </c>
      <c r="BH810">
        <v>1</v>
      </c>
      <c r="BI810">
        <v>1</v>
      </c>
      <c r="BJ810">
        <v>0.2</v>
      </c>
      <c r="BK810">
        <v>1</v>
      </c>
      <c r="BL810">
        <v>59.42</v>
      </c>
      <c r="BM810">
        <v>8.91</v>
      </c>
      <c r="BN810">
        <v>68.33</v>
      </c>
      <c r="BO810">
        <v>68.33</v>
      </c>
      <c r="BQ810" t="s">
        <v>888</v>
      </c>
      <c r="BR810" t="s">
        <v>82</v>
      </c>
      <c r="BS810" s="3">
        <v>45999</v>
      </c>
      <c r="BT810" s="4">
        <v>0.375</v>
      </c>
      <c r="BU810" t="s">
        <v>1582</v>
      </c>
      <c r="BV810" t="s">
        <v>84</v>
      </c>
      <c r="BY810">
        <v>1200</v>
      </c>
      <c r="CA810" t="s">
        <v>580</v>
      </c>
      <c r="CC810" t="s">
        <v>576</v>
      </c>
      <c r="CD810">
        <v>1451</v>
      </c>
      <c r="CE810" t="s">
        <v>134</v>
      </c>
      <c r="CF810" s="3">
        <v>46000</v>
      </c>
      <c r="CI810">
        <v>1</v>
      </c>
      <c r="CJ810">
        <v>1</v>
      </c>
      <c r="CK810">
        <v>22</v>
      </c>
      <c r="CL810" t="s">
        <v>87</v>
      </c>
    </row>
    <row r="811" spans="1:90" x14ac:dyDescent="0.3">
      <c r="A811" t="s">
        <v>72</v>
      </c>
      <c r="B811" t="s">
        <v>73</v>
      </c>
      <c r="C811" t="s">
        <v>74</v>
      </c>
      <c r="E811" t="str">
        <f>"080069703940"</f>
        <v>080069703940</v>
      </c>
      <c r="F811" s="3">
        <v>45996</v>
      </c>
      <c r="G811">
        <v>202609</v>
      </c>
      <c r="H811" t="s">
        <v>75</v>
      </c>
      <c r="I811" t="s">
        <v>76</v>
      </c>
      <c r="J811" t="s">
        <v>77</v>
      </c>
      <c r="K811" t="s">
        <v>78</v>
      </c>
      <c r="L811" t="s">
        <v>189</v>
      </c>
      <c r="M811" t="s">
        <v>190</v>
      </c>
      <c r="N811" t="s">
        <v>1053</v>
      </c>
      <c r="O811" t="s">
        <v>89</v>
      </c>
      <c r="P811" t="str">
        <f>"4170072057                    "</f>
        <v xml:space="preserve">4170072057                    </v>
      </c>
      <c r="Q811">
        <v>0</v>
      </c>
      <c r="R811">
        <v>0</v>
      </c>
      <c r="S811">
        <v>0</v>
      </c>
      <c r="T811">
        <v>0</v>
      </c>
      <c r="U811">
        <v>0</v>
      </c>
      <c r="V811">
        <v>0</v>
      </c>
      <c r="W811">
        <v>0</v>
      </c>
      <c r="X811">
        <v>0</v>
      </c>
      <c r="Y811">
        <v>0</v>
      </c>
      <c r="Z811">
        <v>0</v>
      </c>
      <c r="AA811">
        <v>0</v>
      </c>
      <c r="AB811">
        <v>0</v>
      </c>
      <c r="AC811">
        <v>0</v>
      </c>
      <c r="AD811">
        <v>0</v>
      </c>
      <c r="AE811">
        <v>0</v>
      </c>
      <c r="AF811">
        <v>0</v>
      </c>
      <c r="AG811">
        <v>0</v>
      </c>
      <c r="AH811">
        <v>0</v>
      </c>
      <c r="AI811">
        <v>0</v>
      </c>
      <c r="AJ811">
        <v>0</v>
      </c>
      <c r="AK811">
        <v>0</v>
      </c>
      <c r="AL811">
        <v>0</v>
      </c>
      <c r="AM811">
        <v>0</v>
      </c>
      <c r="AN811">
        <v>0</v>
      </c>
      <c r="AO811">
        <v>0</v>
      </c>
      <c r="AP811">
        <v>0</v>
      </c>
      <c r="AQ811">
        <v>38.28</v>
      </c>
      <c r="AR811">
        <v>0</v>
      </c>
      <c r="AS811">
        <v>0</v>
      </c>
      <c r="AT811">
        <v>0</v>
      </c>
      <c r="AU811">
        <v>0</v>
      </c>
      <c r="AV811">
        <v>0</v>
      </c>
      <c r="AW811">
        <v>0</v>
      </c>
      <c r="AX811">
        <v>0</v>
      </c>
      <c r="AY811">
        <v>0</v>
      </c>
      <c r="AZ811">
        <v>0</v>
      </c>
      <c r="BA811">
        <v>0</v>
      </c>
      <c r="BB811">
        <v>0</v>
      </c>
      <c r="BC811">
        <v>0</v>
      </c>
      <c r="BD811">
        <v>0</v>
      </c>
      <c r="BE811">
        <v>0</v>
      </c>
      <c r="BF811">
        <v>0</v>
      </c>
      <c r="BG811">
        <v>0</v>
      </c>
      <c r="BH811">
        <v>1</v>
      </c>
      <c r="BI811">
        <v>3</v>
      </c>
      <c r="BJ811">
        <v>1.1000000000000001</v>
      </c>
      <c r="BK811">
        <v>3</v>
      </c>
      <c r="BL811">
        <v>114.08</v>
      </c>
      <c r="BM811">
        <v>17.11</v>
      </c>
      <c r="BN811">
        <v>131.19</v>
      </c>
      <c r="BO811">
        <v>131.19</v>
      </c>
      <c r="BQ811" t="s">
        <v>1054</v>
      </c>
      <c r="BR811" t="s">
        <v>82</v>
      </c>
      <c r="BS811" s="3">
        <v>46000</v>
      </c>
      <c r="BT811" s="4">
        <v>0.50763888888888886</v>
      </c>
      <c r="BU811" t="s">
        <v>1576</v>
      </c>
      <c r="BV811" t="s">
        <v>87</v>
      </c>
      <c r="BY811">
        <v>5510</v>
      </c>
      <c r="CA811" t="s">
        <v>794</v>
      </c>
      <c r="CC811" t="s">
        <v>190</v>
      </c>
      <c r="CD811">
        <v>3201</v>
      </c>
      <c r="CE811" t="s">
        <v>86</v>
      </c>
      <c r="CF811" s="3">
        <v>46000</v>
      </c>
      <c r="CI811">
        <v>1</v>
      </c>
      <c r="CJ811">
        <v>2</v>
      </c>
      <c r="CK811">
        <v>21</v>
      </c>
      <c r="CL811" t="s">
        <v>87</v>
      </c>
    </row>
    <row r="812" spans="1:90" x14ac:dyDescent="0.3">
      <c r="A812" t="s">
        <v>72</v>
      </c>
      <c r="B812" t="s">
        <v>73</v>
      </c>
      <c r="C812" t="s">
        <v>74</v>
      </c>
      <c r="E812" t="str">
        <f>"080069703991"</f>
        <v>080069703991</v>
      </c>
      <c r="F812" s="3">
        <v>45996</v>
      </c>
      <c r="G812">
        <v>202609</v>
      </c>
      <c r="H812" t="s">
        <v>75</v>
      </c>
      <c r="I812" t="s">
        <v>76</v>
      </c>
      <c r="J812" t="s">
        <v>77</v>
      </c>
      <c r="K812" t="s">
        <v>78</v>
      </c>
      <c r="L812" t="s">
        <v>176</v>
      </c>
      <c r="M812" t="s">
        <v>177</v>
      </c>
      <c r="N812" t="s">
        <v>178</v>
      </c>
      <c r="O812" t="s">
        <v>89</v>
      </c>
      <c r="P812" t="str">
        <f>"4170072115                    "</f>
        <v xml:space="preserve">4170072115                    </v>
      </c>
      <c r="Q812">
        <v>0</v>
      </c>
      <c r="R812">
        <v>0</v>
      </c>
      <c r="S812">
        <v>0</v>
      </c>
      <c r="T812">
        <v>0</v>
      </c>
      <c r="U812">
        <v>0</v>
      </c>
      <c r="V812">
        <v>0</v>
      </c>
      <c r="W812">
        <v>0</v>
      </c>
      <c r="X812">
        <v>0</v>
      </c>
      <c r="Y812">
        <v>0</v>
      </c>
      <c r="Z812">
        <v>0</v>
      </c>
      <c r="AA812">
        <v>0</v>
      </c>
      <c r="AB812">
        <v>0</v>
      </c>
      <c r="AC812">
        <v>0</v>
      </c>
      <c r="AD812">
        <v>0</v>
      </c>
      <c r="AE812">
        <v>0</v>
      </c>
      <c r="AF812">
        <v>0</v>
      </c>
      <c r="AG812">
        <v>0</v>
      </c>
      <c r="AH812">
        <v>0</v>
      </c>
      <c r="AI812">
        <v>0</v>
      </c>
      <c r="AJ812">
        <v>0</v>
      </c>
      <c r="AK812">
        <v>0</v>
      </c>
      <c r="AL812">
        <v>0</v>
      </c>
      <c r="AM812">
        <v>0</v>
      </c>
      <c r="AN812">
        <v>0</v>
      </c>
      <c r="AO812">
        <v>0</v>
      </c>
      <c r="AP812">
        <v>0</v>
      </c>
      <c r="AQ812">
        <v>19.940000000000001</v>
      </c>
      <c r="AR812">
        <v>0</v>
      </c>
      <c r="AS812">
        <v>0</v>
      </c>
      <c r="AT812">
        <v>0</v>
      </c>
      <c r="AU812">
        <v>0</v>
      </c>
      <c r="AV812">
        <v>0</v>
      </c>
      <c r="AW812">
        <v>0</v>
      </c>
      <c r="AX812">
        <v>0</v>
      </c>
      <c r="AY812">
        <v>0</v>
      </c>
      <c r="AZ812">
        <v>0</v>
      </c>
      <c r="BA812">
        <v>0</v>
      </c>
      <c r="BB812">
        <v>0</v>
      </c>
      <c r="BC812">
        <v>0</v>
      </c>
      <c r="BD812">
        <v>0</v>
      </c>
      <c r="BE812">
        <v>0</v>
      </c>
      <c r="BF812">
        <v>0</v>
      </c>
      <c r="BG812">
        <v>0</v>
      </c>
      <c r="BH812">
        <v>1</v>
      </c>
      <c r="BI812">
        <v>1</v>
      </c>
      <c r="BJ812">
        <v>0.2</v>
      </c>
      <c r="BK812">
        <v>1</v>
      </c>
      <c r="BL812">
        <v>59.42</v>
      </c>
      <c r="BM812">
        <v>8.91</v>
      </c>
      <c r="BN812">
        <v>68.33</v>
      </c>
      <c r="BO812">
        <v>68.33</v>
      </c>
      <c r="BQ812" t="s">
        <v>179</v>
      </c>
      <c r="BR812" t="s">
        <v>82</v>
      </c>
      <c r="BS812" s="3">
        <v>45999</v>
      </c>
      <c r="BT812" s="4">
        <v>0.43194444444444446</v>
      </c>
      <c r="BU812" t="s">
        <v>180</v>
      </c>
      <c r="BV812" t="s">
        <v>84</v>
      </c>
      <c r="BY812">
        <v>1200</v>
      </c>
      <c r="CA812" t="s">
        <v>182</v>
      </c>
      <c r="CC812" t="s">
        <v>177</v>
      </c>
      <c r="CD812">
        <v>2094</v>
      </c>
      <c r="CE812" t="s">
        <v>134</v>
      </c>
      <c r="CF812" s="3">
        <v>45999</v>
      </c>
      <c r="CI812">
        <v>1</v>
      </c>
      <c r="CJ812">
        <v>1</v>
      </c>
      <c r="CK812">
        <v>22</v>
      </c>
      <c r="CL812" t="s">
        <v>87</v>
      </c>
    </row>
    <row r="813" spans="1:90" x14ac:dyDescent="0.3">
      <c r="A813" t="s">
        <v>72</v>
      </c>
      <c r="B813" t="s">
        <v>73</v>
      </c>
      <c r="C813" t="s">
        <v>74</v>
      </c>
      <c r="E813" t="str">
        <f>"080069703960"</f>
        <v>080069703960</v>
      </c>
      <c r="F813" s="3">
        <v>45996</v>
      </c>
      <c r="G813">
        <v>202609</v>
      </c>
      <c r="H813" t="s">
        <v>75</v>
      </c>
      <c r="I813" t="s">
        <v>76</v>
      </c>
      <c r="J813" t="s">
        <v>77</v>
      </c>
      <c r="K813" t="s">
        <v>78</v>
      </c>
      <c r="L813" t="s">
        <v>218</v>
      </c>
      <c r="M813" t="s">
        <v>219</v>
      </c>
      <c r="N813" t="s">
        <v>220</v>
      </c>
      <c r="O813" t="s">
        <v>89</v>
      </c>
      <c r="P813" t="str">
        <f>"4170072155                    "</f>
        <v xml:space="preserve">4170072155                    </v>
      </c>
      <c r="Q813">
        <v>0</v>
      </c>
      <c r="R813">
        <v>0</v>
      </c>
      <c r="S813">
        <v>0</v>
      </c>
      <c r="T813">
        <v>0</v>
      </c>
      <c r="U813">
        <v>0</v>
      </c>
      <c r="V813">
        <v>0</v>
      </c>
      <c r="W813">
        <v>0</v>
      </c>
      <c r="X813">
        <v>0</v>
      </c>
      <c r="Y813">
        <v>0</v>
      </c>
      <c r="Z813">
        <v>0</v>
      </c>
      <c r="AA813">
        <v>0</v>
      </c>
      <c r="AB813">
        <v>0</v>
      </c>
      <c r="AC813">
        <v>0</v>
      </c>
      <c r="AD813">
        <v>0</v>
      </c>
      <c r="AE813">
        <v>0</v>
      </c>
      <c r="AF813">
        <v>0</v>
      </c>
      <c r="AG813">
        <v>0</v>
      </c>
      <c r="AH813">
        <v>0</v>
      </c>
      <c r="AI813">
        <v>0</v>
      </c>
      <c r="AJ813">
        <v>0</v>
      </c>
      <c r="AK813">
        <v>0</v>
      </c>
      <c r="AL813">
        <v>0</v>
      </c>
      <c r="AM813">
        <v>0</v>
      </c>
      <c r="AN813">
        <v>0</v>
      </c>
      <c r="AO813">
        <v>0</v>
      </c>
      <c r="AP813">
        <v>0</v>
      </c>
      <c r="AQ813">
        <v>49.45</v>
      </c>
      <c r="AR813">
        <v>0</v>
      </c>
      <c r="AS813">
        <v>0</v>
      </c>
      <c r="AT813">
        <v>0</v>
      </c>
      <c r="AU813">
        <v>0</v>
      </c>
      <c r="AV813">
        <v>0</v>
      </c>
      <c r="AW813">
        <v>0</v>
      </c>
      <c r="AX813">
        <v>0</v>
      </c>
      <c r="AY813">
        <v>0</v>
      </c>
      <c r="AZ813">
        <v>0</v>
      </c>
      <c r="BA813">
        <v>0</v>
      </c>
      <c r="BB813">
        <v>0</v>
      </c>
      <c r="BC813">
        <v>0</v>
      </c>
      <c r="BD813">
        <v>0</v>
      </c>
      <c r="BE813">
        <v>0</v>
      </c>
      <c r="BF813">
        <v>0</v>
      </c>
      <c r="BG813">
        <v>0</v>
      </c>
      <c r="BH813">
        <v>1</v>
      </c>
      <c r="BI813">
        <v>1</v>
      </c>
      <c r="BJ813">
        <v>0.2</v>
      </c>
      <c r="BK813">
        <v>1</v>
      </c>
      <c r="BL813">
        <v>147.38</v>
      </c>
      <c r="BM813">
        <v>22.11</v>
      </c>
      <c r="BN813">
        <v>169.49</v>
      </c>
      <c r="BO813">
        <v>169.49</v>
      </c>
      <c r="BQ813" t="s">
        <v>221</v>
      </c>
      <c r="BR813" t="s">
        <v>82</v>
      </c>
      <c r="BS813" s="3">
        <v>45999</v>
      </c>
      <c r="BT813" s="4">
        <v>0.33333333333333331</v>
      </c>
      <c r="BU813" t="s">
        <v>1583</v>
      </c>
      <c r="BV813" t="s">
        <v>84</v>
      </c>
      <c r="BY813">
        <v>1200</v>
      </c>
      <c r="CC813" t="s">
        <v>219</v>
      </c>
      <c r="CD813">
        <v>2740</v>
      </c>
      <c r="CE813" t="s">
        <v>134</v>
      </c>
      <c r="CF813" s="3">
        <v>46000</v>
      </c>
      <c r="CI813">
        <v>1</v>
      </c>
      <c r="CJ813">
        <v>1</v>
      </c>
      <c r="CK813">
        <v>23</v>
      </c>
      <c r="CL813" t="s">
        <v>87</v>
      </c>
    </row>
    <row r="814" spans="1:90" x14ac:dyDescent="0.3">
      <c r="A814" t="s">
        <v>72</v>
      </c>
      <c r="B814" t="s">
        <v>73</v>
      </c>
      <c r="C814" t="s">
        <v>74</v>
      </c>
      <c r="E814" t="str">
        <f>"080069704014"</f>
        <v>080069704014</v>
      </c>
      <c r="F814" s="3">
        <v>45996</v>
      </c>
      <c r="G814">
        <v>202609</v>
      </c>
      <c r="H814" t="s">
        <v>75</v>
      </c>
      <c r="I814" t="s">
        <v>76</v>
      </c>
      <c r="J814" t="s">
        <v>77</v>
      </c>
      <c r="K814" t="s">
        <v>78</v>
      </c>
      <c r="L814" t="s">
        <v>465</v>
      </c>
      <c r="M814" t="s">
        <v>466</v>
      </c>
      <c r="N814" t="s">
        <v>1584</v>
      </c>
      <c r="O814" t="s">
        <v>89</v>
      </c>
      <c r="P814" t="str">
        <f>"4170072127                    "</f>
        <v xml:space="preserve">4170072127                    </v>
      </c>
      <c r="Q814">
        <v>0</v>
      </c>
      <c r="R814">
        <v>0</v>
      </c>
      <c r="S814">
        <v>0</v>
      </c>
      <c r="T814">
        <v>0</v>
      </c>
      <c r="U814">
        <v>0</v>
      </c>
      <c r="V814">
        <v>0</v>
      </c>
      <c r="W814">
        <v>0</v>
      </c>
      <c r="X814">
        <v>0</v>
      </c>
      <c r="Y814">
        <v>0</v>
      </c>
      <c r="Z814">
        <v>0</v>
      </c>
      <c r="AA814">
        <v>0</v>
      </c>
      <c r="AB814">
        <v>0</v>
      </c>
      <c r="AC814">
        <v>0</v>
      </c>
      <c r="AD814">
        <v>0</v>
      </c>
      <c r="AE814">
        <v>0</v>
      </c>
      <c r="AF814">
        <v>0</v>
      </c>
      <c r="AG814">
        <v>0</v>
      </c>
      <c r="AH814">
        <v>0</v>
      </c>
      <c r="AI814">
        <v>0</v>
      </c>
      <c r="AJ814">
        <v>0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19.940000000000001</v>
      </c>
      <c r="AR814">
        <v>0</v>
      </c>
      <c r="AS814">
        <v>0</v>
      </c>
      <c r="AT814">
        <v>0</v>
      </c>
      <c r="AU814">
        <v>0</v>
      </c>
      <c r="AV814">
        <v>0</v>
      </c>
      <c r="AW814">
        <v>0</v>
      </c>
      <c r="AX814">
        <v>0</v>
      </c>
      <c r="AY814">
        <v>0</v>
      </c>
      <c r="AZ814">
        <v>0</v>
      </c>
      <c r="BA814">
        <v>0</v>
      </c>
      <c r="BB814">
        <v>0</v>
      </c>
      <c r="BC814">
        <v>0</v>
      </c>
      <c r="BD814">
        <v>0</v>
      </c>
      <c r="BE814">
        <v>0</v>
      </c>
      <c r="BF814">
        <v>0</v>
      </c>
      <c r="BG814">
        <v>0</v>
      </c>
      <c r="BH814">
        <v>1</v>
      </c>
      <c r="BI814">
        <v>1</v>
      </c>
      <c r="BJ814">
        <v>0.2</v>
      </c>
      <c r="BK814">
        <v>1</v>
      </c>
      <c r="BL814">
        <v>59.42</v>
      </c>
      <c r="BM814">
        <v>8.91</v>
      </c>
      <c r="BN814">
        <v>68.33</v>
      </c>
      <c r="BO814">
        <v>68.33</v>
      </c>
      <c r="BQ814" t="s">
        <v>1585</v>
      </c>
      <c r="BR814" t="s">
        <v>82</v>
      </c>
      <c r="BS814" s="3">
        <v>45999</v>
      </c>
      <c r="BT814" s="4">
        <v>0.30138888888888887</v>
      </c>
      <c r="BU814" t="s">
        <v>1586</v>
      </c>
      <c r="BV814" t="s">
        <v>84</v>
      </c>
      <c r="BY814">
        <v>1200</v>
      </c>
      <c r="CC814" t="s">
        <v>466</v>
      </c>
      <c r="CD814">
        <v>1406</v>
      </c>
      <c r="CE814" t="s">
        <v>134</v>
      </c>
      <c r="CF814" s="3">
        <v>45999</v>
      </c>
      <c r="CI814">
        <v>1</v>
      </c>
      <c r="CJ814">
        <v>1</v>
      </c>
      <c r="CK814">
        <v>22</v>
      </c>
      <c r="CL814" t="s">
        <v>87</v>
      </c>
    </row>
    <row r="815" spans="1:90" x14ac:dyDescent="0.3">
      <c r="A815" t="s">
        <v>72</v>
      </c>
      <c r="B815" t="s">
        <v>73</v>
      </c>
      <c r="C815" t="s">
        <v>74</v>
      </c>
      <c r="E815" t="str">
        <f>"080069704002"</f>
        <v>080069704002</v>
      </c>
      <c r="F815" s="3">
        <v>45996</v>
      </c>
      <c r="G815">
        <v>202609</v>
      </c>
      <c r="H815" t="s">
        <v>75</v>
      </c>
      <c r="I815" t="s">
        <v>76</v>
      </c>
      <c r="J815" t="s">
        <v>77</v>
      </c>
      <c r="K815" t="s">
        <v>78</v>
      </c>
      <c r="L815" t="s">
        <v>302</v>
      </c>
      <c r="M815" t="s">
        <v>303</v>
      </c>
      <c r="N815" t="s">
        <v>1587</v>
      </c>
      <c r="O815" t="s">
        <v>340</v>
      </c>
      <c r="P815" t="str">
        <f>"4170072218                    "</f>
        <v xml:space="preserve">4170072218                    </v>
      </c>
      <c r="Q815">
        <v>0</v>
      </c>
      <c r="R815">
        <v>0</v>
      </c>
      <c r="S815">
        <v>0</v>
      </c>
      <c r="T815">
        <v>0</v>
      </c>
      <c r="U815">
        <v>0</v>
      </c>
      <c r="V815">
        <v>0</v>
      </c>
      <c r="W815">
        <v>0</v>
      </c>
      <c r="X815">
        <v>0</v>
      </c>
      <c r="Y815">
        <v>0</v>
      </c>
      <c r="Z815">
        <v>0</v>
      </c>
      <c r="AA815">
        <v>0</v>
      </c>
      <c r="AB815">
        <v>0</v>
      </c>
      <c r="AC815">
        <v>0</v>
      </c>
      <c r="AD815">
        <v>0</v>
      </c>
      <c r="AE815">
        <v>0</v>
      </c>
      <c r="AF815">
        <v>0</v>
      </c>
      <c r="AG815">
        <v>0</v>
      </c>
      <c r="AH815">
        <v>0</v>
      </c>
      <c r="AI815">
        <v>0</v>
      </c>
      <c r="AJ815">
        <v>0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83.75</v>
      </c>
      <c r="AR815">
        <v>0</v>
      </c>
      <c r="AS815">
        <v>0</v>
      </c>
      <c r="AT815">
        <v>0</v>
      </c>
      <c r="AU815">
        <v>0</v>
      </c>
      <c r="AV815">
        <v>0</v>
      </c>
      <c r="AW815">
        <v>0</v>
      </c>
      <c r="AX815">
        <v>0</v>
      </c>
      <c r="AY815">
        <v>0</v>
      </c>
      <c r="AZ815">
        <v>0</v>
      </c>
      <c r="BA815">
        <v>0</v>
      </c>
      <c r="BB815">
        <v>0</v>
      </c>
      <c r="BC815">
        <v>0</v>
      </c>
      <c r="BD815">
        <v>0</v>
      </c>
      <c r="BE815">
        <v>0</v>
      </c>
      <c r="BF815">
        <v>0</v>
      </c>
      <c r="BG815">
        <v>0</v>
      </c>
      <c r="BH815">
        <v>1</v>
      </c>
      <c r="BI815">
        <v>2</v>
      </c>
      <c r="BJ815">
        <v>3.4</v>
      </c>
      <c r="BK815">
        <v>3.5</v>
      </c>
      <c r="BL815">
        <v>249.6</v>
      </c>
      <c r="BM815">
        <v>37.44</v>
      </c>
      <c r="BN815">
        <v>287.04000000000002</v>
      </c>
      <c r="BO815">
        <v>287.04000000000002</v>
      </c>
      <c r="BQ815" t="s">
        <v>1588</v>
      </c>
      <c r="BR815" t="s">
        <v>82</v>
      </c>
      <c r="BS815" s="3">
        <v>45999</v>
      </c>
      <c r="BT815" s="4">
        <v>0.45069444444444445</v>
      </c>
      <c r="BU815" t="s">
        <v>1589</v>
      </c>
      <c r="BV815" t="s">
        <v>84</v>
      </c>
      <c r="BY815">
        <v>16965</v>
      </c>
      <c r="CA815">
        <v>8612186129080</v>
      </c>
      <c r="CC815" t="s">
        <v>303</v>
      </c>
      <c r="CD815" s="5" t="s">
        <v>1590</v>
      </c>
      <c r="CE815" t="s">
        <v>86</v>
      </c>
      <c r="CF815" s="3">
        <v>45999</v>
      </c>
      <c r="CI815">
        <v>1</v>
      </c>
      <c r="CJ815">
        <v>1</v>
      </c>
      <c r="CK815">
        <v>31</v>
      </c>
      <c r="CL815" t="s">
        <v>87</v>
      </c>
    </row>
    <row r="816" spans="1:90" x14ac:dyDescent="0.3">
      <c r="A816" t="s">
        <v>72</v>
      </c>
      <c r="B816" t="s">
        <v>73</v>
      </c>
      <c r="C816" t="s">
        <v>74</v>
      </c>
      <c r="E816" t="str">
        <f>"080069704025"</f>
        <v>080069704025</v>
      </c>
      <c r="F816" s="3">
        <v>45996</v>
      </c>
      <c r="G816">
        <v>202609</v>
      </c>
      <c r="H816" t="s">
        <v>75</v>
      </c>
      <c r="I816" t="s">
        <v>76</v>
      </c>
      <c r="J816" t="s">
        <v>77</v>
      </c>
      <c r="K816" t="s">
        <v>78</v>
      </c>
      <c r="L816" t="s">
        <v>698</v>
      </c>
      <c r="M816" t="s">
        <v>698</v>
      </c>
      <c r="N816" t="s">
        <v>543</v>
      </c>
      <c r="O816" t="s">
        <v>340</v>
      </c>
      <c r="P816" t="str">
        <f>"4170072063                    "</f>
        <v xml:space="preserve">4170072063                    </v>
      </c>
      <c r="Q816">
        <v>0</v>
      </c>
      <c r="R816">
        <v>0</v>
      </c>
      <c r="S816">
        <v>0</v>
      </c>
      <c r="T816">
        <v>0</v>
      </c>
      <c r="U816">
        <v>0</v>
      </c>
      <c r="V816">
        <v>0</v>
      </c>
      <c r="W816">
        <v>0</v>
      </c>
      <c r="X816">
        <v>0</v>
      </c>
      <c r="Y816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>
        <v>0</v>
      </c>
      <c r="AG816">
        <v>0</v>
      </c>
      <c r="AH816">
        <v>0</v>
      </c>
      <c r="AI816">
        <v>0</v>
      </c>
      <c r="AJ816">
        <v>0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100.53</v>
      </c>
      <c r="AR816">
        <v>0</v>
      </c>
      <c r="AS816">
        <v>0</v>
      </c>
      <c r="AT816">
        <v>0</v>
      </c>
      <c r="AU816">
        <v>0</v>
      </c>
      <c r="AV816">
        <v>0</v>
      </c>
      <c r="AW816">
        <v>0</v>
      </c>
      <c r="AX816">
        <v>0</v>
      </c>
      <c r="AY816">
        <v>0</v>
      </c>
      <c r="AZ816">
        <v>0</v>
      </c>
      <c r="BA816">
        <v>0</v>
      </c>
      <c r="BB816">
        <v>0</v>
      </c>
      <c r="BC816">
        <v>0</v>
      </c>
      <c r="BD816">
        <v>0</v>
      </c>
      <c r="BE816">
        <v>0</v>
      </c>
      <c r="BF816">
        <v>0</v>
      </c>
      <c r="BG816">
        <v>0</v>
      </c>
      <c r="BH816">
        <v>1</v>
      </c>
      <c r="BI816">
        <v>4.5</v>
      </c>
      <c r="BJ816">
        <v>4.8</v>
      </c>
      <c r="BK816">
        <v>5</v>
      </c>
      <c r="BL816">
        <v>299.58999999999997</v>
      </c>
      <c r="BM816">
        <v>44.94</v>
      </c>
      <c r="BN816">
        <v>344.53</v>
      </c>
      <c r="BO816">
        <v>344.53</v>
      </c>
      <c r="BQ816" t="s">
        <v>544</v>
      </c>
      <c r="BR816" t="s">
        <v>82</v>
      </c>
      <c r="BS816" s="3">
        <v>45999</v>
      </c>
      <c r="BT816" s="4">
        <v>0.41666666666666669</v>
      </c>
      <c r="BU816" t="s">
        <v>1591</v>
      </c>
      <c r="BV816" t="s">
        <v>84</v>
      </c>
      <c r="BY816">
        <v>23941.54</v>
      </c>
      <c r="CC816" t="s">
        <v>698</v>
      </c>
      <c r="CD816">
        <v>1491</v>
      </c>
      <c r="CE816" t="s">
        <v>86</v>
      </c>
      <c r="CF816" s="3">
        <v>46000</v>
      </c>
      <c r="CI816">
        <v>1</v>
      </c>
      <c r="CJ816">
        <v>1</v>
      </c>
      <c r="CK816">
        <v>34</v>
      </c>
      <c r="CL816" t="s">
        <v>87</v>
      </c>
    </row>
    <row r="817" spans="1:90" x14ac:dyDescent="0.3">
      <c r="A817" t="s">
        <v>72</v>
      </c>
      <c r="B817" t="s">
        <v>73</v>
      </c>
      <c r="C817" t="s">
        <v>74</v>
      </c>
      <c r="E817" t="str">
        <f>"080069704037"</f>
        <v>080069704037</v>
      </c>
      <c r="F817" s="3">
        <v>45996</v>
      </c>
      <c r="G817">
        <v>202609</v>
      </c>
      <c r="H817" t="s">
        <v>75</v>
      </c>
      <c r="I817" t="s">
        <v>76</v>
      </c>
      <c r="J817" t="s">
        <v>77</v>
      </c>
      <c r="K817" t="s">
        <v>78</v>
      </c>
      <c r="L817" t="s">
        <v>176</v>
      </c>
      <c r="M817" t="s">
        <v>177</v>
      </c>
      <c r="N817" t="s">
        <v>1592</v>
      </c>
      <c r="O817" t="s">
        <v>89</v>
      </c>
      <c r="P817" t="str">
        <f>"4170072195                    "</f>
        <v xml:space="preserve">4170072195                    </v>
      </c>
      <c r="Q817">
        <v>0</v>
      </c>
      <c r="R817">
        <v>0</v>
      </c>
      <c r="S817">
        <v>0</v>
      </c>
      <c r="T817">
        <v>0</v>
      </c>
      <c r="U817">
        <v>0</v>
      </c>
      <c r="V817">
        <v>0</v>
      </c>
      <c r="W817">
        <v>0</v>
      </c>
      <c r="X817">
        <v>0</v>
      </c>
      <c r="Y817">
        <v>0</v>
      </c>
      <c r="Z817">
        <v>0</v>
      </c>
      <c r="AA817">
        <v>0</v>
      </c>
      <c r="AB817">
        <v>0</v>
      </c>
      <c r="AC817">
        <v>0</v>
      </c>
      <c r="AD817">
        <v>0</v>
      </c>
      <c r="AE817">
        <v>0</v>
      </c>
      <c r="AF817">
        <v>0</v>
      </c>
      <c r="AG817">
        <v>0</v>
      </c>
      <c r="AH817">
        <v>0</v>
      </c>
      <c r="AI817">
        <v>0</v>
      </c>
      <c r="AJ817">
        <v>0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0</v>
      </c>
      <c r="AQ817">
        <v>19.940000000000001</v>
      </c>
      <c r="AR817">
        <v>0</v>
      </c>
      <c r="AS817">
        <v>0</v>
      </c>
      <c r="AT817">
        <v>0</v>
      </c>
      <c r="AU817">
        <v>0</v>
      </c>
      <c r="AV817">
        <v>0</v>
      </c>
      <c r="AW817">
        <v>0</v>
      </c>
      <c r="AX817">
        <v>0</v>
      </c>
      <c r="AY817">
        <v>0</v>
      </c>
      <c r="AZ817">
        <v>0</v>
      </c>
      <c r="BA817">
        <v>0</v>
      </c>
      <c r="BB817">
        <v>0</v>
      </c>
      <c r="BC817">
        <v>0</v>
      </c>
      <c r="BD817">
        <v>0</v>
      </c>
      <c r="BE817">
        <v>0</v>
      </c>
      <c r="BF817">
        <v>0</v>
      </c>
      <c r="BG817">
        <v>0</v>
      </c>
      <c r="BH817">
        <v>1</v>
      </c>
      <c r="BI817">
        <v>1</v>
      </c>
      <c r="BJ817">
        <v>0.2</v>
      </c>
      <c r="BK817">
        <v>1</v>
      </c>
      <c r="BL817">
        <v>59.42</v>
      </c>
      <c r="BM817">
        <v>8.91</v>
      </c>
      <c r="BN817">
        <v>68.33</v>
      </c>
      <c r="BO817">
        <v>68.33</v>
      </c>
      <c r="BQ817" t="s">
        <v>1593</v>
      </c>
      <c r="BR817" t="s">
        <v>82</v>
      </c>
      <c r="BS817" s="3">
        <v>45999</v>
      </c>
      <c r="BT817" s="4">
        <v>0.42916666666666664</v>
      </c>
      <c r="BU817" t="s">
        <v>1594</v>
      </c>
      <c r="BV817" t="s">
        <v>84</v>
      </c>
      <c r="BY817">
        <v>1200</v>
      </c>
      <c r="CA817" t="s">
        <v>182</v>
      </c>
      <c r="CC817" t="s">
        <v>177</v>
      </c>
      <c r="CD817">
        <v>2049</v>
      </c>
      <c r="CE817" t="s">
        <v>134</v>
      </c>
      <c r="CF817" s="3">
        <v>45999</v>
      </c>
      <c r="CI817">
        <v>1</v>
      </c>
      <c r="CJ817">
        <v>1</v>
      </c>
      <c r="CK817">
        <v>22</v>
      </c>
      <c r="CL817" t="s">
        <v>87</v>
      </c>
    </row>
    <row r="818" spans="1:90" x14ac:dyDescent="0.3">
      <c r="A818" t="s">
        <v>72</v>
      </c>
      <c r="B818" t="s">
        <v>73</v>
      </c>
      <c r="C818" t="s">
        <v>74</v>
      </c>
      <c r="E818" t="str">
        <f>"080069704060"</f>
        <v>080069704060</v>
      </c>
      <c r="F818" s="3">
        <v>45996</v>
      </c>
      <c r="G818">
        <v>202609</v>
      </c>
      <c r="H818" t="s">
        <v>75</v>
      </c>
      <c r="I818" t="s">
        <v>76</v>
      </c>
      <c r="J818" t="s">
        <v>77</v>
      </c>
      <c r="K818" t="s">
        <v>78</v>
      </c>
      <c r="L818" t="s">
        <v>1595</v>
      </c>
      <c r="M818" t="s">
        <v>1596</v>
      </c>
      <c r="N818" t="s">
        <v>249</v>
      </c>
      <c r="O818" t="s">
        <v>89</v>
      </c>
      <c r="P818" t="str">
        <f>"4170072077                    "</f>
        <v xml:space="preserve">4170072077                    </v>
      </c>
      <c r="Q818">
        <v>0</v>
      </c>
      <c r="R818">
        <v>0</v>
      </c>
      <c r="S818">
        <v>0</v>
      </c>
      <c r="T818">
        <v>0</v>
      </c>
      <c r="U818">
        <v>0</v>
      </c>
      <c r="V818">
        <v>0</v>
      </c>
      <c r="W818">
        <v>0</v>
      </c>
      <c r="X818">
        <v>0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0</v>
      </c>
      <c r="AE818">
        <v>0</v>
      </c>
      <c r="AF818">
        <v>0</v>
      </c>
      <c r="AG818">
        <v>0</v>
      </c>
      <c r="AH818">
        <v>0</v>
      </c>
      <c r="AI818">
        <v>0</v>
      </c>
      <c r="AJ818">
        <v>0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25.52</v>
      </c>
      <c r="AR818">
        <v>0</v>
      </c>
      <c r="AS818">
        <v>0</v>
      </c>
      <c r="AT818">
        <v>0</v>
      </c>
      <c r="AU818">
        <v>0</v>
      </c>
      <c r="AV818">
        <v>0</v>
      </c>
      <c r="AW818">
        <v>0</v>
      </c>
      <c r="AX818">
        <v>0</v>
      </c>
      <c r="AY818">
        <v>0</v>
      </c>
      <c r="AZ818">
        <v>0</v>
      </c>
      <c r="BA818">
        <v>0</v>
      </c>
      <c r="BB818">
        <v>0</v>
      </c>
      <c r="BC818">
        <v>0</v>
      </c>
      <c r="BD818">
        <v>0</v>
      </c>
      <c r="BE818">
        <v>0</v>
      </c>
      <c r="BF818">
        <v>0</v>
      </c>
      <c r="BG818">
        <v>0</v>
      </c>
      <c r="BH818">
        <v>1</v>
      </c>
      <c r="BI818">
        <v>1</v>
      </c>
      <c r="BJ818">
        <v>0.2</v>
      </c>
      <c r="BK818">
        <v>1</v>
      </c>
      <c r="BL818">
        <v>76.06</v>
      </c>
      <c r="BM818">
        <v>11.41</v>
      </c>
      <c r="BN818">
        <v>87.47</v>
      </c>
      <c r="BO818">
        <v>87.47</v>
      </c>
      <c r="BQ818" t="s">
        <v>250</v>
      </c>
      <c r="BR818" t="s">
        <v>82</v>
      </c>
      <c r="BS818" s="3">
        <v>45999</v>
      </c>
      <c r="BT818" s="4">
        <v>0.39583333333333331</v>
      </c>
      <c r="BU818" t="s">
        <v>1597</v>
      </c>
      <c r="BV818" t="s">
        <v>84</v>
      </c>
      <c r="BY818">
        <v>1200</v>
      </c>
      <c r="CA818" t="s">
        <v>1598</v>
      </c>
      <c r="CC818" t="s">
        <v>1596</v>
      </c>
      <c r="CD818" s="5" t="s">
        <v>1599</v>
      </c>
      <c r="CE818" t="s">
        <v>134</v>
      </c>
      <c r="CF818" s="3">
        <v>45999</v>
      </c>
      <c r="CI818">
        <v>1</v>
      </c>
      <c r="CJ818">
        <v>1</v>
      </c>
      <c r="CK818">
        <v>21</v>
      </c>
      <c r="CL818" t="s">
        <v>87</v>
      </c>
    </row>
    <row r="819" spans="1:90" x14ac:dyDescent="0.3">
      <c r="A819" t="s">
        <v>72</v>
      </c>
      <c r="B819" t="s">
        <v>73</v>
      </c>
      <c r="C819" t="s">
        <v>74</v>
      </c>
      <c r="E819" t="str">
        <f>"080069704076"</f>
        <v>080069704076</v>
      </c>
      <c r="F819" s="3">
        <v>45996</v>
      </c>
      <c r="G819">
        <v>202609</v>
      </c>
      <c r="H819" t="s">
        <v>75</v>
      </c>
      <c r="I819" t="s">
        <v>76</v>
      </c>
      <c r="J819" t="s">
        <v>77</v>
      </c>
      <c r="K819" t="s">
        <v>78</v>
      </c>
      <c r="L819" t="s">
        <v>302</v>
      </c>
      <c r="M819" t="s">
        <v>303</v>
      </c>
      <c r="N819" t="s">
        <v>1600</v>
      </c>
      <c r="O819" t="s">
        <v>80</v>
      </c>
      <c r="P819" t="str">
        <f>"4170072060                    "</f>
        <v xml:space="preserve">4170072060                    </v>
      </c>
      <c r="Q819">
        <v>0</v>
      </c>
      <c r="R819">
        <v>0</v>
      </c>
      <c r="S819">
        <v>0</v>
      </c>
      <c r="T819">
        <v>0</v>
      </c>
      <c r="U819">
        <v>0</v>
      </c>
      <c r="V819">
        <v>0</v>
      </c>
      <c r="W819">
        <v>0</v>
      </c>
      <c r="X819">
        <v>0</v>
      </c>
      <c r="Y819">
        <v>0</v>
      </c>
      <c r="Z819">
        <v>0</v>
      </c>
      <c r="AA819">
        <v>0</v>
      </c>
      <c r="AB819">
        <v>0</v>
      </c>
      <c r="AC819">
        <v>0</v>
      </c>
      <c r="AD819">
        <v>0</v>
      </c>
      <c r="AE819">
        <v>0</v>
      </c>
      <c r="AF819">
        <v>0</v>
      </c>
      <c r="AG819">
        <v>0</v>
      </c>
      <c r="AH819">
        <v>0</v>
      </c>
      <c r="AI819">
        <v>0</v>
      </c>
      <c r="AJ819">
        <v>0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49.36</v>
      </c>
      <c r="AR819">
        <v>0</v>
      </c>
      <c r="AS819">
        <v>0</v>
      </c>
      <c r="AT819">
        <v>0</v>
      </c>
      <c r="AU819">
        <v>0</v>
      </c>
      <c r="AV819">
        <v>0</v>
      </c>
      <c r="AW819">
        <v>0</v>
      </c>
      <c r="AX819">
        <v>0</v>
      </c>
      <c r="AY819">
        <v>0</v>
      </c>
      <c r="AZ819">
        <v>0</v>
      </c>
      <c r="BA819">
        <v>0</v>
      </c>
      <c r="BB819">
        <v>0</v>
      </c>
      <c r="BC819">
        <v>0</v>
      </c>
      <c r="BD819">
        <v>0</v>
      </c>
      <c r="BE819">
        <v>0</v>
      </c>
      <c r="BF819">
        <v>0</v>
      </c>
      <c r="BG819">
        <v>0</v>
      </c>
      <c r="BH819">
        <v>1</v>
      </c>
      <c r="BI819">
        <v>8</v>
      </c>
      <c r="BJ819">
        <v>1.8</v>
      </c>
      <c r="BK819">
        <v>8</v>
      </c>
      <c r="BL819">
        <v>153.19999999999999</v>
      </c>
      <c r="BM819">
        <v>22.98</v>
      </c>
      <c r="BN819">
        <v>176.18</v>
      </c>
      <c r="BO819">
        <v>176.18</v>
      </c>
      <c r="BQ819" t="s">
        <v>1601</v>
      </c>
      <c r="BR819" t="s">
        <v>82</v>
      </c>
      <c r="BS819" s="3">
        <v>45999</v>
      </c>
      <c r="BT819" s="4">
        <v>0.4236111111111111</v>
      </c>
      <c r="BU819" t="s">
        <v>1602</v>
      </c>
      <c r="BV819" t="s">
        <v>84</v>
      </c>
      <c r="BY819">
        <v>8816</v>
      </c>
      <c r="CC819" t="s">
        <v>303</v>
      </c>
      <c r="CD819" s="5" t="s">
        <v>307</v>
      </c>
      <c r="CE819" t="s">
        <v>86</v>
      </c>
      <c r="CF819" s="3">
        <v>45999</v>
      </c>
      <c r="CI819">
        <v>1</v>
      </c>
      <c r="CJ819">
        <v>1</v>
      </c>
      <c r="CK819">
        <v>41</v>
      </c>
      <c r="CL819" t="s">
        <v>87</v>
      </c>
    </row>
    <row r="820" spans="1:90" x14ac:dyDescent="0.3">
      <c r="A820" t="s">
        <v>72</v>
      </c>
      <c r="B820" t="s">
        <v>73</v>
      </c>
      <c r="C820" t="s">
        <v>74</v>
      </c>
      <c r="E820" t="str">
        <f>"080069704090"</f>
        <v>080069704090</v>
      </c>
      <c r="F820" s="3">
        <v>45996</v>
      </c>
      <c r="G820">
        <v>202609</v>
      </c>
      <c r="H820" t="s">
        <v>75</v>
      </c>
      <c r="I820" t="s">
        <v>76</v>
      </c>
      <c r="J820" t="s">
        <v>77</v>
      </c>
      <c r="K820" t="s">
        <v>78</v>
      </c>
      <c r="L820" t="s">
        <v>302</v>
      </c>
      <c r="M820" t="s">
        <v>303</v>
      </c>
      <c r="N820" t="s">
        <v>887</v>
      </c>
      <c r="O820" t="s">
        <v>89</v>
      </c>
      <c r="P820" t="str">
        <f>"4170072189                    "</f>
        <v xml:space="preserve">4170072189                    </v>
      </c>
      <c r="Q820">
        <v>0</v>
      </c>
      <c r="R820">
        <v>0</v>
      </c>
      <c r="S820">
        <v>0</v>
      </c>
      <c r="T820">
        <v>0</v>
      </c>
      <c r="U820">
        <v>0</v>
      </c>
      <c r="V820">
        <v>0</v>
      </c>
      <c r="W820">
        <v>0</v>
      </c>
      <c r="X820">
        <v>0</v>
      </c>
      <c r="Y820">
        <v>0</v>
      </c>
      <c r="Z820">
        <v>0</v>
      </c>
      <c r="AA820">
        <v>0</v>
      </c>
      <c r="AB820">
        <v>0</v>
      </c>
      <c r="AC820">
        <v>0</v>
      </c>
      <c r="AD820">
        <v>0</v>
      </c>
      <c r="AE820">
        <v>0</v>
      </c>
      <c r="AF820">
        <v>0</v>
      </c>
      <c r="AG820">
        <v>0</v>
      </c>
      <c r="AH820">
        <v>0</v>
      </c>
      <c r="AI820">
        <v>0</v>
      </c>
      <c r="AJ820">
        <v>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25.52</v>
      </c>
      <c r="AR820">
        <v>0</v>
      </c>
      <c r="AS820">
        <v>0</v>
      </c>
      <c r="AT820">
        <v>0</v>
      </c>
      <c r="AU820">
        <v>0</v>
      </c>
      <c r="AV820">
        <v>0</v>
      </c>
      <c r="AW820">
        <v>0</v>
      </c>
      <c r="AX820">
        <v>0</v>
      </c>
      <c r="AY820">
        <v>0</v>
      </c>
      <c r="AZ820">
        <v>0</v>
      </c>
      <c r="BA820">
        <v>0</v>
      </c>
      <c r="BB820">
        <v>0</v>
      </c>
      <c r="BC820">
        <v>0</v>
      </c>
      <c r="BD820">
        <v>0</v>
      </c>
      <c r="BE820">
        <v>0</v>
      </c>
      <c r="BF820">
        <v>0</v>
      </c>
      <c r="BG820">
        <v>0</v>
      </c>
      <c r="BH820">
        <v>1</v>
      </c>
      <c r="BI820">
        <v>1</v>
      </c>
      <c r="BJ820">
        <v>0.2</v>
      </c>
      <c r="BK820">
        <v>1</v>
      </c>
      <c r="BL820">
        <v>76.06</v>
      </c>
      <c r="BM820">
        <v>11.41</v>
      </c>
      <c r="BN820">
        <v>87.47</v>
      </c>
      <c r="BO820">
        <v>87.47</v>
      </c>
      <c r="BQ820" t="s">
        <v>888</v>
      </c>
      <c r="BR820" t="s">
        <v>82</v>
      </c>
      <c r="BS820" s="3">
        <v>45999</v>
      </c>
      <c r="BT820" s="4">
        <v>0.38958333333333334</v>
      </c>
      <c r="BU820" t="s">
        <v>927</v>
      </c>
      <c r="BV820" t="s">
        <v>84</v>
      </c>
      <c r="BY820">
        <v>1200</v>
      </c>
      <c r="CA820">
        <v>8303236124087</v>
      </c>
      <c r="CC820" t="s">
        <v>303</v>
      </c>
      <c r="CD820" s="5" t="s">
        <v>307</v>
      </c>
      <c r="CE820" t="s">
        <v>134</v>
      </c>
      <c r="CF820" s="3">
        <v>45999</v>
      </c>
      <c r="CI820">
        <v>1</v>
      </c>
      <c r="CJ820">
        <v>1</v>
      </c>
      <c r="CK820">
        <v>21</v>
      </c>
      <c r="CL820" t="s">
        <v>87</v>
      </c>
    </row>
    <row r="821" spans="1:90" x14ac:dyDescent="0.3">
      <c r="A821" t="s">
        <v>72</v>
      </c>
      <c r="B821" t="s">
        <v>73</v>
      </c>
      <c r="C821" t="s">
        <v>74</v>
      </c>
      <c r="E821" t="str">
        <f>"080069704123"</f>
        <v>080069704123</v>
      </c>
      <c r="F821" s="3">
        <v>45996</v>
      </c>
      <c r="G821">
        <v>202609</v>
      </c>
      <c r="H821" t="s">
        <v>75</v>
      </c>
      <c r="I821" t="s">
        <v>76</v>
      </c>
      <c r="J821" t="s">
        <v>77</v>
      </c>
      <c r="K821" t="s">
        <v>78</v>
      </c>
      <c r="L821" t="s">
        <v>169</v>
      </c>
      <c r="M821" t="s">
        <v>170</v>
      </c>
      <c r="N821" t="s">
        <v>171</v>
      </c>
      <c r="O821" t="s">
        <v>89</v>
      </c>
      <c r="P821" t="str">
        <f>"4170072079                    "</f>
        <v xml:space="preserve">4170072079                    </v>
      </c>
      <c r="Q821">
        <v>0</v>
      </c>
      <c r="R821">
        <v>0</v>
      </c>
      <c r="S821">
        <v>0</v>
      </c>
      <c r="T821">
        <v>0</v>
      </c>
      <c r="U821">
        <v>0</v>
      </c>
      <c r="V821">
        <v>0</v>
      </c>
      <c r="W821">
        <v>0</v>
      </c>
      <c r="X821">
        <v>0</v>
      </c>
      <c r="Y821">
        <v>0</v>
      </c>
      <c r="Z821">
        <v>0</v>
      </c>
      <c r="AA821">
        <v>0</v>
      </c>
      <c r="AB821">
        <v>0</v>
      </c>
      <c r="AC821">
        <v>0</v>
      </c>
      <c r="AD821">
        <v>0</v>
      </c>
      <c r="AE821">
        <v>0</v>
      </c>
      <c r="AF821">
        <v>0</v>
      </c>
      <c r="AG821">
        <v>0</v>
      </c>
      <c r="AH821">
        <v>0</v>
      </c>
      <c r="AI821">
        <v>0</v>
      </c>
      <c r="AJ821">
        <v>0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49.45</v>
      </c>
      <c r="AR821">
        <v>0</v>
      </c>
      <c r="AS821">
        <v>0</v>
      </c>
      <c r="AT821">
        <v>0</v>
      </c>
      <c r="AU821">
        <v>0</v>
      </c>
      <c r="AV821">
        <v>0</v>
      </c>
      <c r="AW821">
        <v>0</v>
      </c>
      <c r="AX821">
        <v>0</v>
      </c>
      <c r="AY821">
        <v>0</v>
      </c>
      <c r="AZ821">
        <v>0</v>
      </c>
      <c r="BA821">
        <v>0</v>
      </c>
      <c r="BB821">
        <v>0</v>
      </c>
      <c r="BC821">
        <v>0</v>
      </c>
      <c r="BD821">
        <v>0</v>
      </c>
      <c r="BE821">
        <v>0</v>
      </c>
      <c r="BF821">
        <v>0</v>
      </c>
      <c r="BG821">
        <v>0</v>
      </c>
      <c r="BH821">
        <v>1</v>
      </c>
      <c r="BI821">
        <v>2</v>
      </c>
      <c r="BJ821">
        <v>1.4</v>
      </c>
      <c r="BK821">
        <v>2</v>
      </c>
      <c r="BL821">
        <v>147.38</v>
      </c>
      <c r="BM821">
        <v>22.11</v>
      </c>
      <c r="BN821">
        <v>169.49</v>
      </c>
      <c r="BO821">
        <v>169.49</v>
      </c>
      <c r="BQ821" t="s">
        <v>172</v>
      </c>
      <c r="BR821" t="s">
        <v>82</v>
      </c>
      <c r="BS821" s="3">
        <v>45999</v>
      </c>
      <c r="BT821" s="4">
        <v>0.63888888888888884</v>
      </c>
      <c r="BU821" t="s">
        <v>1524</v>
      </c>
      <c r="BV821" t="s">
        <v>84</v>
      </c>
      <c r="BY821">
        <v>7000</v>
      </c>
      <c r="CA821">
        <v>8410105735081</v>
      </c>
      <c r="CC821" t="s">
        <v>170</v>
      </c>
      <c r="CD821">
        <v>1028</v>
      </c>
      <c r="CE821" t="s">
        <v>86</v>
      </c>
      <c r="CF821" s="3">
        <v>45999</v>
      </c>
      <c r="CI821">
        <v>1</v>
      </c>
      <c r="CJ821">
        <v>1</v>
      </c>
      <c r="CK821">
        <v>23</v>
      </c>
      <c r="CL821" t="s">
        <v>87</v>
      </c>
    </row>
    <row r="822" spans="1:90" x14ac:dyDescent="0.3">
      <c r="A822" t="s">
        <v>72</v>
      </c>
      <c r="B822" t="s">
        <v>73</v>
      </c>
      <c r="C822" t="s">
        <v>74</v>
      </c>
      <c r="E822" t="str">
        <f>"080069704135"</f>
        <v>080069704135</v>
      </c>
      <c r="F822" s="3">
        <v>45996</v>
      </c>
      <c r="G822">
        <v>202609</v>
      </c>
      <c r="H822" t="s">
        <v>75</v>
      </c>
      <c r="I822" t="s">
        <v>76</v>
      </c>
      <c r="J822" t="s">
        <v>77</v>
      </c>
      <c r="K822" t="s">
        <v>78</v>
      </c>
      <c r="L822" t="s">
        <v>141</v>
      </c>
      <c r="M822" t="s">
        <v>142</v>
      </c>
      <c r="N822" t="s">
        <v>568</v>
      </c>
      <c r="O822" t="s">
        <v>89</v>
      </c>
      <c r="P822" t="str">
        <f>"4170072100                    "</f>
        <v xml:space="preserve">4170072100                    </v>
      </c>
      <c r="Q822">
        <v>0</v>
      </c>
      <c r="R822">
        <v>0</v>
      </c>
      <c r="S822">
        <v>0</v>
      </c>
      <c r="T822">
        <v>0</v>
      </c>
      <c r="U822">
        <v>0</v>
      </c>
      <c r="V822">
        <v>0</v>
      </c>
      <c r="W822">
        <v>0</v>
      </c>
      <c r="X822">
        <v>0</v>
      </c>
      <c r="Y822">
        <v>0</v>
      </c>
      <c r="Z822">
        <v>0</v>
      </c>
      <c r="AA822">
        <v>0</v>
      </c>
      <c r="AB822">
        <v>0</v>
      </c>
      <c r="AC822">
        <v>0</v>
      </c>
      <c r="AD822">
        <v>0</v>
      </c>
      <c r="AE822">
        <v>0</v>
      </c>
      <c r="AF822">
        <v>0</v>
      </c>
      <c r="AG822">
        <v>0</v>
      </c>
      <c r="AH822">
        <v>0</v>
      </c>
      <c r="AI822">
        <v>0</v>
      </c>
      <c r="AJ822">
        <v>0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25.52</v>
      </c>
      <c r="AR822">
        <v>0</v>
      </c>
      <c r="AS822">
        <v>0</v>
      </c>
      <c r="AT822">
        <v>0</v>
      </c>
      <c r="AU822">
        <v>0</v>
      </c>
      <c r="AV822">
        <v>0</v>
      </c>
      <c r="AW822">
        <v>0</v>
      </c>
      <c r="AX822">
        <v>0</v>
      </c>
      <c r="AY822">
        <v>0</v>
      </c>
      <c r="AZ822">
        <v>0</v>
      </c>
      <c r="BA822">
        <v>0</v>
      </c>
      <c r="BB822">
        <v>0</v>
      </c>
      <c r="BC822">
        <v>0</v>
      </c>
      <c r="BD822">
        <v>0</v>
      </c>
      <c r="BE822">
        <v>0</v>
      </c>
      <c r="BF822">
        <v>0</v>
      </c>
      <c r="BG822">
        <v>0</v>
      </c>
      <c r="BH822">
        <v>1</v>
      </c>
      <c r="BI822">
        <v>1</v>
      </c>
      <c r="BJ822">
        <v>0.2</v>
      </c>
      <c r="BK822">
        <v>1</v>
      </c>
      <c r="BL822">
        <v>76.06</v>
      </c>
      <c r="BM822">
        <v>11.41</v>
      </c>
      <c r="BN822">
        <v>87.47</v>
      </c>
      <c r="BO822">
        <v>87.47</v>
      </c>
      <c r="BQ822" t="s">
        <v>569</v>
      </c>
      <c r="BR822" t="s">
        <v>82</v>
      </c>
      <c r="BS822" s="3">
        <v>45999</v>
      </c>
      <c r="BT822" s="4">
        <v>0.40347222222222223</v>
      </c>
      <c r="BU822" t="s">
        <v>570</v>
      </c>
      <c r="BV822" t="s">
        <v>84</v>
      </c>
      <c r="BY822">
        <v>1200</v>
      </c>
      <c r="CA822" t="s">
        <v>571</v>
      </c>
      <c r="CC822" t="s">
        <v>142</v>
      </c>
      <c r="CD822">
        <v>6056</v>
      </c>
      <c r="CE822" t="s">
        <v>134</v>
      </c>
      <c r="CF822" s="3">
        <v>45999</v>
      </c>
      <c r="CI822">
        <v>1</v>
      </c>
      <c r="CJ822">
        <v>1</v>
      </c>
      <c r="CK822">
        <v>21</v>
      </c>
      <c r="CL822" t="s">
        <v>87</v>
      </c>
    </row>
    <row r="823" spans="1:90" x14ac:dyDescent="0.3">
      <c r="A823" t="s">
        <v>72</v>
      </c>
      <c r="B823" t="s">
        <v>73</v>
      </c>
      <c r="C823" t="s">
        <v>74</v>
      </c>
      <c r="E823" t="str">
        <f>"080069704178"</f>
        <v>080069704178</v>
      </c>
      <c r="F823" s="3">
        <v>45996</v>
      </c>
      <c r="G823">
        <v>202609</v>
      </c>
      <c r="H823" t="s">
        <v>75</v>
      </c>
      <c r="I823" t="s">
        <v>76</v>
      </c>
      <c r="J823" t="s">
        <v>77</v>
      </c>
      <c r="K823" t="s">
        <v>78</v>
      </c>
      <c r="L823" t="s">
        <v>100</v>
      </c>
      <c r="M823" t="s">
        <v>101</v>
      </c>
      <c r="N823" t="s">
        <v>498</v>
      </c>
      <c r="O823" t="s">
        <v>89</v>
      </c>
      <c r="P823" t="str">
        <f>"4170072196                    "</f>
        <v xml:space="preserve">4170072196                    </v>
      </c>
      <c r="Q823">
        <v>0</v>
      </c>
      <c r="R823">
        <v>0</v>
      </c>
      <c r="S823">
        <v>0</v>
      </c>
      <c r="T823">
        <v>0</v>
      </c>
      <c r="U823">
        <v>0</v>
      </c>
      <c r="V823">
        <v>0</v>
      </c>
      <c r="W823">
        <v>0</v>
      </c>
      <c r="X823">
        <v>0</v>
      </c>
      <c r="Y823">
        <v>0</v>
      </c>
      <c r="Z823">
        <v>0</v>
      </c>
      <c r="AA823">
        <v>0</v>
      </c>
      <c r="AB823">
        <v>0</v>
      </c>
      <c r="AC823">
        <v>0</v>
      </c>
      <c r="AD823">
        <v>0</v>
      </c>
      <c r="AE823">
        <v>0</v>
      </c>
      <c r="AF823">
        <v>0</v>
      </c>
      <c r="AG823">
        <v>0</v>
      </c>
      <c r="AH823">
        <v>0</v>
      </c>
      <c r="AI823">
        <v>0</v>
      </c>
      <c r="AJ823">
        <v>0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25.52</v>
      </c>
      <c r="AR823">
        <v>0</v>
      </c>
      <c r="AS823">
        <v>0</v>
      </c>
      <c r="AT823">
        <v>0</v>
      </c>
      <c r="AU823">
        <v>0</v>
      </c>
      <c r="AV823">
        <v>0</v>
      </c>
      <c r="AW823">
        <v>0</v>
      </c>
      <c r="AX823">
        <v>0</v>
      </c>
      <c r="AY823">
        <v>0</v>
      </c>
      <c r="AZ823">
        <v>0</v>
      </c>
      <c r="BA823">
        <v>0</v>
      </c>
      <c r="BB823">
        <v>0</v>
      </c>
      <c r="BC823">
        <v>0</v>
      </c>
      <c r="BD823">
        <v>0</v>
      </c>
      <c r="BE823">
        <v>0</v>
      </c>
      <c r="BF823">
        <v>0</v>
      </c>
      <c r="BG823">
        <v>0</v>
      </c>
      <c r="BH823">
        <v>1</v>
      </c>
      <c r="BI823">
        <v>2</v>
      </c>
      <c r="BJ823">
        <v>0.7</v>
      </c>
      <c r="BK823">
        <v>2</v>
      </c>
      <c r="BL823">
        <v>76.06</v>
      </c>
      <c r="BM823">
        <v>11.41</v>
      </c>
      <c r="BN823">
        <v>87.47</v>
      </c>
      <c r="BO823">
        <v>87.47</v>
      </c>
      <c r="BQ823" t="s">
        <v>499</v>
      </c>
      <c r="BR823" t="s">
        <v>82</v>
      </c>
      <c r="BS823" s="3">
        <v>45999</v>
      </c>
      <c r="BT823" s="4">
        <v>0.41388888888888886</v>
      </c>
      <c r="BU823" t="s">
        <v>1603</v>
      </c>
      <c r="BV823" t="s">
        <v>84</v>
      </c>
      <c r="BY823">
        <v>3306</v>
      </c>
      <c r="CA823" t="s">
        <v>1541</v>
      </c>
      <c r="CC823" t="s">
        <v>101</v>
      </c>
      <c r="CD823">
        <v>4052</v>
      </c>
      <c r="CE823" t="s">
        <v>86</v>
      </c>
      <c r="CF823" s="3">
        <v>46000</v>
      </c>
      <c r="CI823">
        <v>1</v>
      </c>
      <c r="CJ823">
        <v>1</v>
      </c>
      <c r="CK823">
        <v>21</v>
      </c>
      <c r="CL823" t="s">
        <v>87</v>
      </c>
    </row>
    <row r="824" spans="1:90" x14ac:dyDescent="0.3">
      <c r="A824" t="s">
        <v>72</v>
      </c>
      <c r="B824" t="s">
        <v>73</v>
      </c>
      <c r="C824" t="s">
        <v>74</v>
      </c>
      <c r="E824" t="str">
        <f>"080069704189"</f>
        <v>080069704189</v>
      </c>
      <c r="F824" s="3">
        <v>45996</v>
      </c>
      <c r="G824">
        <v>202609</v>
      </c>
      <c r="H824" t="s">
        <v>75</v>
      </c>
      <c r="I824" t="s">
        <v>76</v>
      </c>
      <c r="J824" t="s">
        <v>77</v>
      </c>
      <c r="K824" t="s">
        <v>78</v>
      </c>
      <c r="L824" t="s">
        <v>399</v>
      </c>
      <c r="M824" t="s">
        <v>400</v>
      </c>
      <c r="N824" t="s">
        <v>401</v>
      </c>
      <c r="O824" t="s">
        <v>89</v>
      </c>
      <c r="P824" t="str">
        <f>"4170072108                    "</f>
        <v xml:space="preserve">4170072108                    </v>
      </c>
      <c r="Q824">
        <v>0</v>
      </c>
      <c r="R824">
        <v>0</v>
      </c>
      <c r="S824">
        <v>0</v>
      </c>
      <c r="T824">
        <v>0</v>
      </c>
      <c r="U824">
        <v>0</v>
      </c>
      <c r="V824">
        <v>0</v>
      </c>
      <c r="W824">
        <v>0</v>
      </c>
      <c r="X824">
        <v>0</v>
      </c>
      <c r="Y824">
        <v>0</v>
      </c>
      <c r="Z824">
        <v>0</v>
      </c>
      <c r="AA824">
        <v>0</v>
      </c>
      <c r="AB824">
        <v>0</v>
      </c>
      <c r="AC824">
        <v>0</v>
      </c>
      <c r="AD824">
        <v>0</v>
      </c>
      <c r="AE824">
        <v>0</v>
      </c>
      <c r="AF824">
        <v>0</v>
      </c>
      <c r="AG824">
        <v>0</v>
      </c>
      <c r="AH824">
        <v>0</v>
      </c>
      <c r="AI824">
        <v>0</v>
      </c>
      <c r="AJ824">
        <v>0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19.940000000000001</v>
      </c>
      <c r="AR824">
        <v>0</v>
      </c>
      <c r="AS824">
        <v>0</v>
      </c>
      <c r="AT824">
        <v>0</v>
      </c>
      <c r="AU824">
        <v>0</v>
      </c>
      <c r="AV824">
        <v>0</v>
      </c>
      <c r="AW824">
        <v>0</v>
      </c>
      <c r="AX824">
        <v>0</v>
      </c>
      <c r="AY824">
        <v>0</v>
      </c>
      <c r="AZ824">
        <v>0</v>
      </c>
      <c r="BA824">
        <v>0</v>
      </c>
      <c r="BB824">
        <v>0</v>
      </c>
      <c r="BC824">
        <v>0</v>
      </c>
      <c r="BD824">
        <v>0</v>
      </c>
      <c r="BE824">
        <v>0</v>
      </c>
      <c r="BF824">
        <v>0</v>
      </c>
      <c r="BG824">
        <v>0</v>
      </c>
      <c r="BH824">
        <v>1</v>
      </c>
      <c r="BI824">
        <v>1</v>
      </c>
      <c r="BJ824">
        <v>0.2</v>
      </c>
      <c r="BK824">
        <v>1</v>
      </c>
      <c r="BL824">
        <v>59.42</v>
      </c>
      <c r="BM824">
        <v>8.91</v>
      </c>
      <c r="BN824">
        <v>68.33</v>
      </c>
      <c r="BO824">
        <v>68.33</v>
      </c>
      <c r="BQ824" t="s">
        <v>402</v>
      </c>
      <c r="BR824" t="s">
        <v>82</v>
      </c>
      <c r="BS824" s="3">
        <v>46002</v>
      </c>
      <c r="BT824" s="4">
        <v>0.43055555555555558</v>
      </c>
      <c r="BU824" t="s">
        <v>416</v>
      </c>
      <c r="BV824" t="s">
        <v>87</v>
      </c>
      <c r="BW824" t="s">
        <v>174</v>
      </c>
      <c r="BX824" t="s">
        <v>270</v>
      </c>
      <c r="BY824">
        <v>1200</v>
      </c>
      <c r="CC824" t="s">
        <v>400</v>
      </c>
      <c r="CD824">
        <v>1724</v>
      </c>
      <c r="CE824" t="s">
        <v>134</v>
      </c>
      <c r="CF824" s="3">
        <v>46003</v>
      </c>
      <c r="CI824">
        <v>1</v>
      </c>
      <c r="CJ824">
        <v>4</v>
      </c>
      <c r="CK824">
        <v>22</v>
      </c>
      <c r="CL824" t="s">
        <v>87</v>
      </c>
    </row>
    <row r="825" spans="1:90" x14ac:dyDescent="0.3">
      <c r="A825" t="s">
        <v>72</v>
      </c>
      <c r="B825" t="s">
        <v>73</v>
      </c>
      <c r="C825" t="s">
        <v>74</v>
      </c>
      <c r="E825" t="str">
        <f>"080069704238"</f>
        <v>080069704238</v>
      </c>
      <c r="F825" s="3">
        <v>45996</v>
      </c>
      <c r="G825">
        <v>202609</v>
      </c>
      <c r="H825" t="s">
        <v>75</v>
      </c>
      <c r="I825" t="s">
        <v>76</v>
      </c>
      <c r="J825" t="s">
        <v>77</v>
      </c>
      <c r="K825" t="s">
        <v>78</v>
      </c>
      <c r="L825" t="s">
        <v>302</v>
      </c>
      <c r="M825" t="s">
        <v>303</v>
      </c>
      <c r="N825" t="s">
        <v>1056</v>
      </c>
      <c r="O825" t="s">
        <v>80</v>
      </c>
      <c r="P825" t="str">
        <f>"4170072122                    "</f>
        <v xml:space="preserve">4170072122                    </v>
      </c>
      <c r="Q825">
        <v>0</v>
      </c>
      <c r="R825">
        <v>0</v>
      </c>
      <c r="S825">
        <v>0</v>
      </c>
      <c r="T825">
        <v>0</v>
      </c>
      <c r="U825">
        <v>0</v>
      </c>
      <c r="V825">
        <v>0</v>
      </c>
      <c r="W825">
        <v>0</v>
      </c>
      <c r="X825">
        <v>0</v>
      </c>
      <c r="Y825">
        <v>0</v>
      </c>
      <c r="Z825">
        <v>0</v>
      </c>
      <c r="AA825">
        <v>0</v>
      </c>
      <c r="AB825">
        <v>0</v>
      </c>
      <c r="AC825">
        <v>0</v>
      </c>
      <c r="AD825">
        <v>0</v>
      </c>
      <c r="AE825">
        <v>0</v>
      </c>
      <c r="AF825">
        <v>0</v>
      </c>
      <c r="AG825">
        <v>0</v>
      </c>
      <c r="AH825">
        <v>0</v>
      </c>
      <c r="AI825">
        <v>0</v>
      </c>
      <c r="AJ825">
        <v>0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49.36</v>
      </c>
      <c r="AR825">
        <v>0</v>
      </c>
      <c r="AS825">
        <v>0</v>
      </c>
      <c r="AT825">
        <v>0</v>
      </c>
      <c r="AU825">
        <v>0</v>
      </c>
      <c r="AV825">
        <v>0</v>
      </c>
      <c r="AW825">
        <v>0</v>
      </c>
      <c r="AX825">
        <v>0</v>
      </c>
      <c r="AY825">
        <v>0</v>
      </c>
      <c r="AZ825">
        <v>0</v>
      </c>
      <c r="BA825">
        <v>0</v>
      </c>
      <c r="BB825">
        <v>0</v>
      </c>
      <c r="BC825">
        <v>0</v>
      </c>
      <c r="BD825">
        <v>0</v>
      </c>
      <c r="BE825">
        <v>0</v>
      </c>
      <c r="BF825">
        <v>0</v>
      </c>
      <c r="BG825">
        <v>0</v>
      </c>
      <c r="BH825">
        <v>1</v>
      </c>
      <c r="BI825">
        <v>2</v>
      </c>
      <c r="BJ825">
        <v>2</v>
      </c>
      <c r="BK825">
        <v>2</v>
      </c>
      <c r="BL825">
        <v>153.19999999999999</v>
      </c>
      <c r="BM825">
        <v>22.98</v>
      </c>
      <c r="BN825">
        <v>176.18</v>
      </c>
      <c r="BO825">
        <v>176.18</v>
      </c>
      <c r="BQ825" t="s">
        <v>1057</v>
      </c>
      <c r="BR825" t="s">
        <v>82</v>
      </c>
      <c r="BS825" s="3">
        <v>46001</v>
      </c>
      <c r="BT825" s="4">
        <v>0.44930555555555557</v>
      </c>
      <c r="BU825" t="s">
        <v>1604</v>
      </c>
      <c r="BV825" t="s">
        <v>87</v>
      </c>
      <c r="BW825" t="s">
        <v>174</v>
      </c>
      <c r="BX825" t="s">
        <v>175</v>
      </c>
      <c r="BY825">
        <v>9918</v>
      </c>
      <c r="CA825">
        <v>8110305701087</v>
      </c>
      <c r="CC825" t="s">
        <v>303</v>
      </c>
      <c r="CD825" s="5" t="s">
        <v>933</v>
      </c>
      <c r="CE825" t="s">
        <v>86</v>
      </c>
      <c r="CF825" s="3">
        <v>46001</v>
      </c>
      <c r="CI825">
        <v>1</v>
      </c>
      <c r="CJ825">
        <v>3</v>
      </c>
      <c r="CK825">
        <v>41</v>
      </c>
      <c r="CL825" t="s">
        <v>87</v>
      </c>
    </row>
    <row r="826" spans="1:90" x14ac:dyDescent="0.3">
      <c r="A826" t="s">
        <v>72</v>
      </c>
      <c r="B826" t="s">
        <v>73</v>
      </c>
      <c r="C826" t="s">
        <v>74</v>
      </c>
      <c r="E826" t="str">
        <f>"080069704220"</f>
        <v>080069704220</v>
      </c>
      <c r="F826" s="3">
        <v>45996</v>
      </c>
      <c r="G826">
        <v>202609</v>
      </c>
      <c r="H826" t="s">
        <v>75</v>
      </c>
      <c r="I826" t="s">
        <v>76</v>
      </c>
      <c r="J826" t="s">
        <v>77</v>
      </c>
      <c r="K826" t="s">
        <v>78</v>
      </c>
      <c r="L826" t="s">
        <v>202</v>
      </c>
      <c r="M826" t="s">
        <v>203</v>
      </c>
      <c r="N826" t="s">
        <v>204</v>
      </c>
      <c r="O826" t="s">
        <v>89</v>
      </c>
      <c r="P826" t="str">
        <f>"4170072111                    "</f>
        <v xml:space="preserve">4170072111                    </v>
      </c>
      <c r="Q826">
        <v>0</v>
      </c>
      <c r="R826">
        <v>0</v>
      </c>
      <c r="S826">
        <v>0</v>
      </c>
      <c r="T826">
        <v>0</v>
      </c>
      <c r="U826">
        <v>0</v>
      </c>
      <c r="V826">
        <v>0</v>
      </c>
      <c r="W826">
        <v>0</v>
      </c>
      <c r="X826">
        <v>0</v>
      </c>
      <c r="Y826">
        <v>0</v>
      </c>
      <c r="Z826">
        <v>0</v>
      </c>
      <c r="AA826">
        <v>0</v>
      </c>
      <c r="AB826">
        <v>0</v>
      </c>
      <c r="AC826">
        <v>0</v>
      </c>
      <c r="AD826">
        <v>0</v>
      </c>
      <c r="AE826">
        <v>0</v>
      </c>
      <c r="AF826">
        <v>0</v>
      </c>
      <c r="AG826">
        <v>0</v>
      </c>
      <c r="AH826">
        <v>0</v>
      </c>
      <c r="AI826">
        <v>0</v>
      </c>
      <c r="AJ826">
        <v>0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49.45</v>
      </c>
      <c r="AR826">
        <v>0</v>
      </c>
      <c r="AS826">
        <v>0</v>
      </c>
      <c r="AT826">
        <v>0</v>
      </c>
      <c r="AU826">
        <v>0</v>
      </c>
      <c r="AV826">
        <v>0</v>
      </c>
      <c r="AW826">
        <v>0</v>
      </c>
      <c r="AX826">
        <v>0</v>
      </c>
      <c r="AY826">
        <v>0</v>
      </c>
      <c r="AZ826">
        <v>0</v>
      </c>
      <c r="BA826">
        <v>0</v>
      </c>
      <c r="BB826">
        <v>0</v>
      </c>
      <c r="BC826">
        <v>0</v>
      </c>
      <c r="BD826">
        <v>0</v>
      </c>
      <c r="BE826">
        <v>0</v>
      </c>
      <c r="BF826">
        <v>0</v>
      </c>
      <c r="BG826">
        <v>0</v>
      </c>
      <c r="BH826">
        <v>1</v>
      </c>
      <c r="BI826">
        <v>1</v>
      </c>
      <c r="BJ826">
        <v>0.2</v>
      </c>
      <c r="BK826">
        <v>1</v>
      </c>
      <c r="BL826">
        <v>147.38</v>
      </c>
      <c r="BM826">
        <v>22.11</v>
      </c>
      <c r="BN826">
        <v>169.49</v>
      </c>
      <c r="BO826">
        <v>169.49</v>
      </c>
      <c r="BQ826" t="s">
        <v>205</v>
      </c>
      <c r="BR826" t="s">
        <v>82</v>
      </c>
      <c r="BS826" s="3">
        <v>45999</v>
      </c>
      <c r="BT826" s="4">
        <v>0.41111111111111109</v>
      </c>
      <c r="BU826" t="s">
        <v>1520</v>
      </c>
      <c r="BV826" t="s">
        <v>84</v>
      </c>
      <c r="BY826">
        <v>1200</v>
      </c>
      <c r="CA826">
        <v>7908245451080</v>
      </c>
      <c r="CC826" t="s">
        <v>203</v>
      </c>
      <c r="CD826">
        <v>2531</v>
      </c>
      <c r="CE826" t="s">
        <v>134</v>
      </c>
      <c r="CF826" s="3">
        <v>46000</v>
      </c>
      <c r="CI826">
        <v>1</v>
      </c>
      <c r="CJ826">
        <v>1</v>
      </c>
      <c r="CK826">
        <v>23</v>
      </c>
      <c r="CL826" t="s">
        <v>87</v>
      </c>
    </row>
    <row r="827" spans="1:90" x14ac:dyDescent="0.3">
      <c r="A827" t="s">
        <v>72</v>
      </c>
      <c r="B827" t="s">
        <v>73</v>
      </c>
      <c r="C827" t="s">
        <v>74</v>
      </c>
      <c r="E827" t="str">
        <f>"080069704267"</f>
        <v>080069704267</v>
      </c>
      <c r="F827" s="3">
        <v>45996</v>
      </c>
      <c r="G827">
        <v>202609</v>
      </c>
      <c r="H827" t="s">
        <v>75</v>
      </c>
      <c r="I827" t="s">
        <v>76</v>
      </c>
      <c r="J827" t="s">
        <v>77</v>
      </c>
      <c r="K827" t="s">
        <v>78</v>
      </c>
      <c r="L827" t="s">
        <v>351</v>
      </c>
      <c r="M827" t="s">
        <v>352</v>
      </c>
      <c r="N827" t="s">
        <v>353</v>
      </c>
      <c r="O827" t="s">
        <v>89</v>
      </c>
      <c r="P827" t="str">
        <f>"4170072096                    "</f>
        <v xml:space="preserve">4170072096                    </v>
      </c>
      <c r="Q827">
        <v>0</v>
      </c>
      <c r="R827">
        <v>0</v>
      </c>
      <c r="S827">
        <v>0</v>
      </c>
      <c r="T827">
        <v>0</v>
      </c>
      <c r="U827">
        <v>0</v>
      </c>
      <c r="V827">
        <v>0</v>
      </c>
      <c r="W827">
        <v>0</v>
      </c>
      <c r="X827">
        <v>0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>
        <v>0</v>
      </c>
      <c r="AG827">
        <v>0</v>
      </c>
      <c r="AH827">
        <v>0</v>
      </c>
      <c r="AI827">
        <v>0</v>
      </c>
      <c r="AJ827">
        <v>0</v>
      </c>
      <c r="AK827">
        <v>0</v>
      </c>
      <c r="AL827">
        <v>0</v>
      </c>
      <c r="AM827">
        <v>0</v>
      </c>
      <c r="AN827">
        <v>0</v>
      </c>
      <c r="AO827">
        <v>0</v>
      </c>
      <c r="AP827">
        <v>0</v>
      </c>
      <c r="AQ827">
        <v>35.9</v>
      </c>
      <c r="AR827">
        <v>0</v>
      </c>
      <c r="AS827">
        <v>0</v>
      </c>
      <c r="AT827">
        <v>0</v>
      </c>
      <c r="AU827">
        <v>0</v>
      </c>
      <c r="AV827">
        <v>0</v>
      </c>
      <c r="AW827">
        <v>0</v>
      </c>
      <c r="AX827">
        <v>0</v>
      </c>
      <c r="AY827">
        <v>0</v>
      </c>
      <c r="AZ827">
        <v>0</v>
      </c>
      <c r="BA827">
        <v>0</v>
      </c>
      <c r="BB827">
        <v>0</v>
      </c>
      <c r="BC827">
        <v>0</v>
      </c>
      <c r="BD827">
        <v>0</v>
      </c>
      <c r="BE827">
        <v>0</v>
      </c>
      <c r="BF827">
        <v>0</v>
      </c>
      <c r="BG827">
        <v>0</v>
      </c>
      <c r="BH827">
        <v>1</v>
      </c>
      <c r="BI827">
        <v>1</v>
      </c>
      <c r="BJ827">
        <v>0.2</v>
      </c>
      <c r="BK827">
        <v>1</v>
      </c>
      <c r="BL827">
        <v>106.98</v>
      </c>
      <c r="BM827">
        <v>16.05</v>
      </c>
      <c r="BN827">
        <v>123.03</v>
      </c>
      <c r="BO827">
        <v>123.03</v>
      </c>
      <c r="BQ827" t="s">
        <v>354</v>
      </c>
      <c r="BR827" t="s">
        <v>82</v>
      </c>
      <c r="BS827" s="3">
        <v>45999</v>
      </c>
      <c r="BT827" s="4">
        <v>0.46875</v>
      </c>
      <c r="BU827" t="s">
        <v>1605</v>
      </c>
      <c r="BV827" t="s">
        <v>87</v>
      </c>
      <c r="BW827" t="s">
        <v>174</v>
      </c>
      <c r="BX827" t="s">
        <v>198</v>
      </c>
      <c r="BY827">
        <v>1200</v>
      </c>
      <c r="CA827" t="s">
        <v>356</v>
      </c>
      <c r="CC827" t="s">
        <v>352</v>
      </c>
      <c r="CD827">
        <v>1438</v>
      </c>
      <c r="CE827" t="s">
        <v>134</v>
      </c>
      <c r="CF827" s="3">
        <v>45999</v>
      </c>
      <c r="CI827">
        <v>1</v>
      </c>
      <c r="CJ827">
        <v>1</v>
      </c>
      <c r="CK827">
        <v>24</v>
      </c>
      <c r="CL827" t="s">
        <v>87</v>
      </c>
    </row>
    <row r="828" spans="1:90" x14ac:dyDescent="0.3">
      <c r="A828" t="s">
        <v>72</v>
      </c>
      <c r="B828" t="s">
        <v>73</v>
      </c>
      <c r="C828" t="s">
        <v>74</v>
      </c>
      <c r="E828" t="str">
        <f>"080069704408"</f>
        <v>080069704408</v>
      </c>
      <c r="F828" s="3">
        <v>45996</v>
      </c>
      <c r="G828">
        <v>202609</v>
      </c>
      <c r="H828" t="s">
        <v>75</v>
      </c>
      <c r="I828" t="s">
        <v>76</v>
      </c>
      <c r="J828" t="s">
        <v>77</v>
      </c>
      <c r="K828" t="s">
        <v>78</v>
      </c>
      <c r="L828" t="s">
        <v>100</v>
      </c>
      <c r="M828" t="s">
        <v>101</v>
      </c>
      <c r="N828" t="s">
        <v>102</v>
      </c>
      <c r="O828" t="s">
        <v>89</v>
      </c>
      <c r="P828" t="str">
        <f>"4170072177                    "</f>
        <v xml:space="preserve">4170072177                    </v>
      </c>
      <c r="Q828">
        <v>0</v>
      </c>
      <c r="R828">
        <v>0</v>
      </c>
      <c r="S828">
        <v>0</v>
      </c>
      <c r="T828">
        <v>0</v>
      </c>
      <c r="U828">
        <v>0</v>
      </c>
      <c r="V828">
        <v>0</v>
      </c>
      <c r="W828">
        <v>0</v>
      </c>
      <c r="X828">
        <v>0</v>
      </c>
      <c r="Y828">
        <v>0</v>
      </c>
      <c r="Z828">
        <v>0</v>
      </c>
      <c r="AA828">
        <v>0</v>
      </c>
      <c r="AB828">
        <v>0</v>
      </c>
      <c r="AC828">
        <v>0</v>
      </c>
      <c r="AD828">
        <v>0</v>
      </c>
      <c r="AE828">
        <v>0</v>
      </c>
      <c r="AF828">
        <v>0</v>
      </c>
      <c r="AG828">
        <v>0</v>
      </c>
      <c r="AH828">
        <v>0</v>
      </c>
      <c r="AI828">
        <v>0</v>
      </c>
      <c r="AJ828">
        <v>0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25.52</v>
      </c>
      <c r="AR828">
        <v>0</v>
      </c>
      <c r="AS828">
        <v>0</v>
      </c>
      <c r="AT828">
        <v>0</v>
      </c>
      <c r="AU828">
        <v>0</v>
      </c>
      <c r="AV828">
        <v>0</v>
      </c>
      <c r="AW828">
        <v>0</v>
      </c>
      <c r="AX828">
        <v>0</v>
      </c>
      <c r="AY828">
        <v>0</v>
      </c>
      <c r="AZ828">
        <v>0</v>
      </c>
      <c r="BA828">
        <v>0</v>
      </c>
      <c r="BB828">
        <v>0</v>
      </c>
      <c r="BC828">
        <v>0</v>
      </c>
      <c r="BD828">
        <v>0</v>
      </c>
      <c r="BE828">
        <v>0</v>
      </c>
      <c r="BF828">
        <v>0</v>
      </c>
      <c r="BG828">
        <v>0</v>
      </c>
      <c r="BH828">
        <v>1</v>
      </c>
      <c r="BI828">
        <v>1</v>
      </c>
      <c r="BJ828">
        <v>0.2</v>
      </c>
      <c r="BK828">
        <v>1</v>
      </c>
      <c r="BL828">
        <v>76.06</v>
      </c>
      <c r="BM828">
        <v>11.41</v>
      </c>
      <c r="BN828">
        <v>87.47</v>
      </c>
      <c r="BO828">
        <v>87.47</v>
      </c>
      <c r="BQ828" t="s">
        <v>103</v>
      </c>
      <c r="BR828" t="s">
        <v>82</v>
      </c>
      <c r="BS828" s="3">
        <v>45999</v>
      </c>
      <c r="BT828" s="4">
        <v>0.33333333333333331</v>
      </c>
      <c r="BU828" t="s">
        <v>1534</v>
      </c>
      <c r="BV828" t="s">
        <v>84</v>
      </c>
      <c r="BY828">
        <v>1200</v>
      </c>
      <c r="CA828" t="s">
        <v>107</v>
      </c>
      <c r="CC828" t="s">
        <v>101</v>
      </c>
      <c r="CD828">
        <v>4000</v>
      </c>
      <c r="CE828" t="s">
        <v>134</v>
      </c>
      <c r="CF828" s="3">
        <v>46000</v>
      </c>
      <c r="CI828">
        <v>1</v>
      </c>
      <c r="CJ828">
        <v>1</v>
      </c>
      <c r="CK828">
        <v>21</v>
      </c>
      <c r="CL828" t="s">
        <v>87</v>
      </c>
    </row>
    <row r="829" spans="1:90" x14ac:dyDescent="0.3">
      <c r="A829" t="s">
        <v>72</v>
      </c>
      <c r="B829" t="s">
        <v>73</v>
      </c>
      <c r="C829" t="s">
        <v>74</v>
      </c>
      <c r="E829" t="str">
        <f>"080011700302"</f>
        <v>080011700302</v>
      </c>
      <c r="F829" s="3">
        <v>45996</v>
      </c>
      <c r="G829">
        <v>202609</v>
      </c>
      <c r="H829" t="s">
        <v>302</v>
      </c>
      <c r="I829" t="s">
        <v>303</v>
      </c>
      <c r="J829" t="s">
        <v>1606</v>
      </c>
      <c r="K829" t="s">
        <v>78</v>
      </c>
      <c r="L829" t="s">
        <v>75</v>
      </c>
      <c r="M829" t="s">
        <v>76</v>
      </c>
      <c r="N829" t="s">
        <v>602</v>
      </c>
      <c r="O829" t="s">
        <v>80</v>
      </c>
      <c r="P829" t="str">
        <f>"Gift                          "</f>
        <v xml:space="preserve">Gift                          </v>
      </c>
      <c r="Q829">
        <v>0</v>
      </c>
      <c r="R829">
        <v>0</v>
      </c>
      <c r="S829">
        <v>0</v>
      </c>
      <c r="T829">
        <v>0</v>
      </c>
      <c r="U829">
        <v>0</v>
      </c>
      <c r="V829">
        <v>0</v>
      </c>
      <c r="W829">
        <v>0</v>
      </c>
      <c r="X829">
        <v>0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0</v>
      </c>
      <c r="AE829">
        <v>0</v>
      </c>
      <c r="AF829">
        <v>0</v>
      </c>
      <c r="AG829">
        <v>0</v>
      </c>
      <c r="AH829">
        <v>0</v>
      </c>
      <c r="AI829">
        <v>0</v>
      </c>
      <c r="AJ829">
        <v>0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49.36</v>
      </c>
      <c r="AR829">
        <v>0</v>
      </c>
      <c r="AS829">
        <v>0</v>
      </c>
      <c r="AT829">
        <v>0</v>
      </c>
      <c r="AU829">
        <v>0</v>
      </c>
      <c r="AV829">
        <v>0</v>
      </c>
      <c r="AW829">
        <v>0</v>
      </c>
      <c r="AX829">
        <v>0</v>
      </c>
      <c r="AY829">
        <v>0</v>
      </c>
      <c r="AZ829">
        <v>0</v>
      </c>
      <c r="BA829">
        <v>0</v>
      </c>
      <c r="BB829">
        <v>0</v>
      </c>
      <c r="BC829">
        <v>0</v>
      </c>
      <c r="BD829">
        <v>0</v>
      </c>
      <c r="BE829">
        <v>0</v>
      </c>
      <c r="BF829">
        <v>0</v>
      </c>
      <c r="BG829">
        <v>0</v>
      </c>
      <c r="BH829">
        <v>1</v>
      </c>
      <c r="BI829">
        <v>2.7</v>
      </c>
      <c r="BJ829">
        <v>0.2</v>
      </c>
      <c r="BK829">
        <v>3</v>
      </c>
      <c r="BL829">
        <v>153.19999999999999</v>
      </c>
      <c r="BM829">
        <v>22.98</v>
      </c>
      <c r="BN829">
        <v>176.18</v>
      </c>
      <c r="BO829">
        <v>176.18</v>
      </c>
      <c r="BQ829" t="s">
        <v>603</v>
      </c>
      <c r="BR829" t="s">
        <v>1607</v>
      </c>
      <c r="BS829" s="3">
        <v>45999</v>
      </c>
      <c r="BT829" s="4">
        <v>0.40694444444444444</v>
      </c>
      <c r="BU829" t="s">
        <v>605</v>
      </c>
      <c r="BV829" t="s">
        <v>84</v>
      </c>
      <c r="BY829">
        <v>1200</v>
      </c>
      <c r="BZ829" t="s">
        <v>731</v>
      </c>
      <c r="CA829" t="s">
        <v>606</v>
      </c>
      <c r="CC829" t="s">
        <v>76</v>
      </c>
      <c r="CD829">
        <v>1619</v>
      </c>
      <c r="CE829" t="s">
        <v>607</v>
      </c>
      <c r="CF829" s="3">
        <v>45999</v>
      </c>
      <c r="CI829">
        <v>1</v>
      </c>
      <c r="CJ829">
        <v>1</v>
      </c>
      <c r="CK829">
        <v>41</v>
      </c>
      <c r="CL829" t="s">
        <v>87</v>
      </c>
    </row>
    <row r="830" spans="1:90" x14ac:dyDescent="0.3">
      <c r="A830" t="s">
        <v>72</v>
      </c>
      <c r="B830" t="s">
        <v>73</v>
      </c>
      <c r="C830" t="s">
        <v>74</v>
      </c>
      <c r="E830" t="str">
        <f>"080069704311"</f>
        <v>080069704311</v>
      </c>
      <c r="F830" s="3">
        <v>45996</v>
      </c>
      <c r="G830">
        <v>202609</v>
      </c>
      <c r="H830" t="s">
        <v>75</v>
      </c>
      <c r="I830" t="s">
        <v>76</v>
      </c>
      <c r="J830" t="s">
        <v>77</v>
      </c>
      <c r="K830" t="s">
        <v>78</v>
      </c>
      <c r="L830" t="s">
        <v>265</v>
      </c>
      <c r="M830" t="s">
        <v>266</v>
      </c>
      <c r="N830" t="s">
        <v>1608</v>
      </c>
      <c r="O830" t="s">
        <v>89</v>
      </c>
      <c r="P830" t="str">
        <f>"4170072126                    "</f>
        <v xml:space="preserve">4170072126                    </v>
      </c>
      <c r="Q830">
        <v>0</v>
      </c>
      <c r="R830">
        <v>0</v>
      </c>
      <c r="S830">
        <v>0</v>
      </c>
      <c r="T830">
        <v>0</v>
      </c>
      <c r="U830">
        <v>0</v>
      </c>
      <c r="V830">
        <v>0</v>
      </c>
      <c r="W830">
        <v>0</v>
      </c>
      <c r="X830">
        <v>0</v>
      </c>
      <c r="Y830">
        <v>0</v>
      </c>
      <c r="Z830">
        <v>0</v>
      </c>
      <c r="AA830">
        <v>0</v>
      </c>
      <c r="AB830">
        <v>0</v>
      </c>
      <c r="AC830">
        <v>0</v>
      </c>
      <c r="AD830">
        <v>0</v>
      </c>
      <c r="AE830">
        <v>0</v>
      </c>
      <c r="AF830">
        <v>0</v>
      </c>
      <c r="AG830">
        <v>0</v>
      </c>
      <c r="AH830">
        <v>0</v>
      </c>
      <c r="AI830">
        <v>0</v>
      </c>
      <c r="AJ830">
        <v>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19.940000000000001</v>
      </c>
      <c r="AR830">
        <v>0</v>
      </c>
      <c r="AS830">
        <v>0</v>
      </c>
      <c r="AT830">
        <v>0</v>
      </c>
      <c r="AU830">
        <v>0</v>
      </c>
      <c r="AV830">
        <v>0</v>
      </c>
      <c r="AW830">
        <v>0</v>
      </c>
      <c r="AX830">
        <v>0</v>
      </c>
      <c r="AY830">
        <v>0</v>
      </c>
      <c r="AZ830">
        <v>0</v>
      </c>
      <c r="BA830">
        <v>0</v>
      </c>
      <c r="BB830">
        <v>0</v>
      </c>
      <c r="BC830">
        <v>0</v>
      </c>
      <c r="BD830">
        <v>0</v>
      </c>
      <c r="BE830">
        <v>0</v>
      </c>
      <c r="BF830">
        <v>0</v>
      </c>
      <c r="BG830">
        <v>0</v>
      </c>
      <c r="BH830">
        <v>1</v>
      </c>
      <c r="BI830">
        <v>1</v>
      </c>
      <c r="BJ830">
        <v>0.2</v>
      </c>
      <c r="BK830">
        <v>1</v>
      </c>
      <c r="BL830">
        <v>59.42</v>
      </c>
      <c r="BM830">
        <v>8.91</v>
      </c>
      <c r="BN830">
        <v>68.33</v>
      </c>
      <c r="BO830">
        <v>68.33</v>
      </c>
      <c r="BQ830" t="s">
        <v>1609</v>
      </c>
      <c r="BR830" t="s">
        <v>82</v>
      </c>
      <c r="BS830" s="3">
        <v>45999</v>
      </c>
      <c r="BT830" s="4">
        <v>0.37708333333333333</v>
      </c>
      <c r="BU830" t="s">
        <v>1610</v>
      </c>
      <c r="BV830" t="s">
        <v>84</v>
      </c>
      <c r="BY830">
        <v>1200</v>
      </c>
      <c r="CA830" t="s">
        <v>1330</v>
      </c>
      <c r="CC830" t="s">
        <v>266</v>
      </c>
      <c r="CD830">
        <v>1459</v>
      </c>
      <c r="CE830" t="s">
        <v>607</v>
      </c>
      <c r="CF830" s="3">
        <v>45999</v>
      </c>
      <c r="CI830">
        <v>1</v>
      </c>
      <c r="CJ830">
        <v>1</v>
      </c>
      <c r="CK830">
        <v>22</v>
      </c>
      <c r="CL830" t="s">
        <v>87</v>
      </c>
    </row>
    <row r="831" spans="1:90" x14ac:dyDescent="0.3">
      <c r="A831" t="s">
        <v>72</v>
      </c>
      <c r="B831" t="s">
        <v>73</v>
      </c>
      <c r="C831" t="s">
        <v>74</v>
      </c>
      <c r="E831" t="str">
        <f>"080069704359"</f>
        <v>080069704359</v>
      </c>
      <c r="F831" s="3">
        <v>45996</v>
      </c>
      <c r="G831">
        <v>202609</v>
      </c>
      <c r="H831" t="s">
        <v>75</v>
      </c>
      <c r="I831" t="s">
        <v>76</v>
      </c>
      <c r="J831" t="s">
        <v>77</v>
      </c>
      <c r="K831" t="s">
        <v>78</v>
      </c>
      <c r="L831" t="s">
        <v>141</v>
      </c>
      <c r="M831" t="s">
        <v>142</v>
      </c>
      <c r="N831" t="s">
        <v>214</v>
      </c>
      <c r="O831" t="s">
        <v>89</v>
      </c>
      <c r="P831" t="str">
        <f>"4170072174                    "</f>
        <v xml:space="preserve">4170072174                    </v>
      </c>
      <c r="Q831">
        <v>0</v>
      </c>
      <c r="R831">
        <v>0</v>
      </c>
      <c r="S831">
        <v>0</v>
      </c>
      <c r="T831">
        <v>0</v>
      </c>
      <c r="U831">
        <v>0</v>
      </c>
      <c r="V831">
        <v>0</v>
      </c>
      <c r="W831">
        <v>0</v>
      </c>
      <c r="X831">
        <v>0</v>
      </c>
      <c r="Y831">
        <v>0</v>
      </c>
      <c r="Z831">
        <v>0</v>
      </c>
      <c r="AA831">
        <v>0</v>
      </c>
      <c r="AB831">
        <v>0</v>
      </c>
      <c r="AC831">
        <v>0</v>
      </c>
      <c r="AD831">
        <v>0</v>
      </c>
      <c r="AE831">
        <v>0</v>
      </c>
      <c r="AF831">
        <v>0</v>
      </c>
      <c r="AG831">
        <v>0</v>
      </c>
      <c r="AH831">
        <v>0</v>
      </c>
      <c r="AI831">
        <v>0</v>
      </c>
      <c r="AJ831">
        <v>0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0</v>
      </c>
      <c r="AQ831">
        <v>25.52</v>
      </c>
      <c r="AR831">
        <v>0</v>
      </c>
      <c r="AS831">
        <v>0</v>
      </c>
      <c r="AT831">
        <v>0</v>
      </c>
      <c r="AU831">
        <v>0</v>
      </c>
      <c r="AV831">
        <v>0</v>
      </c>
      <c r="AW831">
        <v>0</v>
      </c>
      <c r="AX831">
        <v>0</v>
      </c>
      <c r="AY831">
        <v>0</v>
      </c>
      <c r="AZ831">
        <v>0</v>
      </c>
      <c r="BA831">
        <v>0</v>
      </c>
      <c r="BB831">
        <v>0</v>
      </c>
      <c r="BC831">
        <v>0</v>
      </c>
      <c r="BD831">
        <v>0</v>
      </c>
      <c r="BE831">
        <v>0</v>
      </c>
      <c r="BF831">
        <v>0</v>
      </c>
      <c r="BG831">
        <v>0</v>
      </c>
      <c r="BH831">
        <v>1</v>
      </c>
      <c r="BI831">
        <v>1</v>
      </c>
      <c r="BJ831">
        <v>0.2</v>
      </c>
      <c r="BK831">
        <v>1</v>
      </c>
      <c r="BL831">
        <v>76.06</v>
      </c>
      <c r="BM831">
        <v>11.41</v>
      </c>
      <c r="BN831">
        <v>87.47</v>
      </c>
      <c r="BO831">
        <v>87.47</v>
      </c>
      <c r="BQ831" t="s">
        <v>215</v>
      </c>
      <c r="BR831" t="s">
        <v>82</v>
      </c>
      <c r="BS831" s="3">
        <v>45999</v>
      </c>
      <c r="BT831" s="4">
        <v>0.3611111111111111</v>
      </c>
      <c r="BU831" t="s">
        <v>360</v>
      </c>
      <c r="BV831" t="s">
        <v>84</v>
      </c>
      <c r="BY831">
        <v>1200</v>
      </c>
      <c r="CA831" t="s">
        <v>489</v>
      </c>
      <c r="CC831" t="s">
        <v>142</v>
      </c>
      <c r="CD831">
        <v>6001</v>
      </c>
      <c r="CE831" t="s">
        <v>607</v>
      </c>
      <c r="CF831" s="3">
        <v>45999</v>
      </c>
      <c r="CI831">
        <v>1</v>
      </c>
      <c r="CJ831">
        <v>1</v>
      </c>
      <c r="CK831">
        <v>21</v>
      </c>
      <c r="CL831" t="s">
        <v>87</v>
      </c>
    </row>
    <row r="832" spans="1:90" x14ac:dyDescent="0.3">
      <c r="A832" t="s">
        <v>72</v>
      </c>
      <c r="B832" t="s">
        <v>73</v>
      </c>
      <c r="C832" t="s">
        <v>74</v>
      </c>
      <c r="E832" t="str">
        <f>"080069704734"</f>
        <v>080069704734</v>
      </c>
      <c r="F832" s="3">
        <v>45996</v>
      </c>
      <c r="G832">
        <v>202609</v>
      </c>
      <c r="H832" t="s">
        <v>75</v>
      </c>
      <c r="I832" t="s">
        <v>76</v>
      </c>
      <c r="J832" t="s">
        <v>77</v>
      </c>
      <c r="K832" t="s">
        <v>78</v>
      </c>
      <c r="L832" t="s">
        <v>176</v>
      </c>
      <c r="M832" t="s">
        <v>177</v>
      </c>
      <c r="N832" t="s">
        <v>1611</v>
      </c>
      <c r="O832" t="s">
        <v>80</v>
      </c>
      <c r="P832" t="str">
        <f>"4170072140                    "</f>
        <v xml:space="preserve">4170072140                    </v>
      </c>
      <c r="Q832">
        <v>0</v>
      </c>
      <c r="R832">
        <v>0</v>
      </c>
      <c r="S832">
        <v>0</v>
      </c>
      <c r="T832">
        <v>0</v>
      </c>
      <c r="U832">
        <v>0</v>
      </c>
      <c r="V832">
        <v>0</v>
      </c>
      <c r="W832">
        <v>0</v>
      </c>
      <c r="X832">
        <v>0</v>
      </c>
      <c r="Y832">
        <v>0</v>
      </c>
      <c r="Z832">
        <v>0</v>
      </c>
      <c r="AA832">
        <v>0</v>
      </c>
      <c r="AB832">
        <v>0</v>
      </c>
      <c r="AC832">
        <v>0</v>
      </c>
      <c r="AD832">
        <v>0</v>
      </c>
      <c r="AE832">
        <v>0</v>
      </c>
      <c r="AF832">
        <v>0</v>
      </c>
      <c r="AG832">
        <v>0</v>
      </c>
      <c r="AH832">
        <v>0</v>
      </c>
      <c r="AI832">
        <v>0</v>
      </c>
      <c r="AJ832">
        <v>0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38.090000000000003</v>
      </c>
      <c r="AR832">
        <v>0</v>
      </c>
      <c r="AS832">
        <v>0</v>
      </c>
      <c r="AT832">
        <v>0</v>
      </c>
      <c r="AU832">
        <v>0</v>
      </c>
      <c r="AV832">
        <v>0</v>
      </c>
      <c r="AW832">
        <v>0</v>
      </c>
      <c r="AX832">
        <v>0</v>
      </c>
      <c r="AY832">
        <v>0</v>
      </c>
      <c r="AZ832">
        <v>0</v>
      </c>
      <c r="BA832">
        <v>0</v>
      </c>
      <c r="BB832">
        <v>0</v>
      </c>
      <c r="BC832">
        <v>0</v>
      </c>
      <c r="BD832">
        <v>0</v>
      </c>
      <c r="BE832">
        <v>0</v>
      </c>
      <c r="BF832">
        <v>0</v>
      </c>
      <c r="BG832">
        <v>0</v>
      </c>
      <c r="BH832">
        <v>1</v>
      </c>
      <c r="BI832">
        <v>12</v>
      </c>
      <c r="BJ832">
        <v>5.4</v>
      </c>
      <c r="BK832">
        <v>12</v>
      </c>
      <c r="BL832">
        <v>119.61</v>
      </c>
      <c r="BM832">
        <v>17.940000000000001</v>
      </c>
      <c r="BN832">
        <v>137.55000000000001</v>
      </c>
      <c r="BO832">
        <v>137.55000000000001</v>
      </c>
      <c r="BQ832" t="s">
        <v>1612</v>
      </c>
      <c r="BR832" t="s">
        <v>82</v>
      </c>
      <c r="BS832" s="3">
        <v>45999</v>
      </c>
      <c r="BT832" s="4">
        <v>0.41180555555555554</v>
      </c>
      <c r="BU832" t="s">
        <v>1613</v>
      </c>
      <c r="BV832" t="s">
        <v>84</v>
      </c>
      <c r="BY832">
        <v>27144</v>
      </c>
      <c r="CA832" t="s">
        <v>457</v>
      </c>
      <c r="CC832" t="s">
        <v>177</v>
      </c>
      <c r="CD832">
        <v>2001</v>
      </c>
      <c r="CE832" t="s">
        <v>654</v>
      </c>
      <c r="CF832" s="3">
        <v>45999</v>
      </c>
      <c r="CI832">
        <v>1</v>
      </c>
      <c r="CJ832">
        <v>1</v>
      </c>
      <c r="CK832">
        <v>42</v>
      </c>
      <c r="CL832" t="s">
        <v>87</v>
      </c>
    </row>
    <row r="833" spans="1:90" x14ac:dyDescent="0.3">
      <c r="A833" t="s">
        <v>72</v>
      </c>
      <c r="B833" t="s">
        <v>73</v>
      </c>
      <c r="C833" t="s">
        <v>74</v>
      </c>
      <c r="E833" t="str">
        <f>"080069704775"</f>
        <v>080069704775</v>
      </c>
      <c r="F833" s="3">
        <v>45996</v>
      </c>
      <c r="G833">
        <v>202609</v>
      </c>
      <c r="H833" t="s">
        <v>75</v>
      </c>
      <c r="I833" t="s">
        <v>76</v>
      </c>
      <c r="J833" t="s">
        <v>77</v>
      </c>
      <c r="K833" t="s">
        <v>78</v>
      </c>
      <c r="L833" t="s">
        <v>612</v>
      </c>
      <c r="M833" t="s">
        <v>613</v>
      </c>
      <c r="N833" t="s">
        <v>614</v>
      </c>
      <c r="O833" t="s">
        <v>89</v>
      </c>
      <c r="P833" t="str">
        <f>"4170072094                    "</f>
        <v xml:space="preserve">4170072094                    </v>
      </c>
      <c r="Q833">
        <v>0</v>
      </c>
      <c r="R833">
        <v>0</v>
      </c>
      <c r="S833">
        <v>0</v>
      </c>
      <c r="T833">
        <v>0</v>
      </c>
      <c r="U833">
        <v>0</v>
      </c>
      <c r="V833">
        <v>0</v>
      </c>
      <c r="W833">
        <v>0</v>
      </c>
      <c r="X833">
        <v>0</v>
      </c>
      <c r="Y833">
        <v>0</v>
      </c>
      <c r="Z833">
        <v>0</v>
      </c>
      <c r="AA833">
        <v>0</v>
      </c>
      <c r="AB833">
        <v>0</v>
      </c>
      <c r="AC833">
        <v>0</v>
      </c>
      <c r="AD833">
        <v>0</v>
      </c>
      <c r="AE833">
        <v>0</v>
      </c>
      <c r="AF833">
        <v>0</v>
      </c>
      <c r="AG833">
        <v>0</v>
      </c>
      <c r="AH833">
        <v>0</v>
      </c>
      <c r="AI833">
        <v>0</v>
      </c>
      <c r="AJ833">
        <v>0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116.45</v>
      </c>
      <c r="AR833">
        <v>0</v>
      </c>
      <c r="AS833">
        <v>0</v>
      </c>
      <c r="AT833">
        <v>0</v>
      </c>
      <c r="AU833">
        <v>0</v>
      </c>
      <c r="AV833">
        <v>0</v>
      </c>
      <c r="AW833">
        <v>0</v>
      </c>
      <c r="AX833">
        <v>0</v>
      </c>
      <c r="AY833">
        <v>0</v>
      </c>
      <c r="AZ833">
        <v>0</v>
      </c>
      <c r="BA833">
        <v>0</v>
      </c>
      <c r="BB833">
        <v>0</v>
      </c>
      <c r="BC833">
        <v>0</v>
      </c>
      <c r="BD833">
        <v>0</v>
      </c>
      <c r="BE833">
        <v>0</v>
      </c>
      <c r="BF833">
        <v>0</v>
      </c>
      <c r="BG833">
        <v>0</v>
      </c>
      <c r="BH833">
        <v>1</v>
      </c>
      <c r="BI833">
        <v>5</v>
      </c>
      <c r="BJ833">
        <v>1.8</v>
      </c>
      <c r="BK833">
        <v>5</v>
      </c>
      <c r="BL833">
        <v>347.04</v>
      </c>
      <c r="BM833">
        <v>52.06</v>
      </c>
      <c r="BN833">
        <v>399.1</v>
      </c>
      <c r="BO833">
        <v>399.1</v>
      </c>
      <c r="BQ833" t="s">
        <v>615</v>
      </c>
      <c r="BR833" t="s">
        <v>82</v>
      </c>
      <c r="BS833" s="3">
        <v>45999</v>
      </c>
      <c r="BT833" s="4">
        <v>0.55763888888888891</v>
      </c>
      <c r="BU833" t="s">
        <v>1614</v>
      </c>
      <c r="BV833" t="s">
        <v>84</v>
      </c>
      <c r="BY833">
        <v>8816</v>
      </c>
      <c r="CA833" t="s">
        <v>617</v>
      </c>
      <c r="CC833" t="s">
        <v>613</v>
      </c>
      <c r="CD833">
        <v>6850</v>
      </c>
      <c r="CE833" t="s">
        <v>86</v>
      </c>
      <c r="CF833" s="3">
        <v>46000</v>
      </c>
      <c r="CI833">
        <v>2</v>
      </c>
      <c r="CJ833">
        <v>1</v>
      </c>
      <c r="CK833">
        <v>23</v>
      </c>
      <c r="CL833" t="s">
        <v>87</v>
      </c>
    </row>
    <row r="834" spans="1:90" x14ac:dyDescent="0.3">
      <c r="A834" t="s">
        <v>72</v>
      </c>
      <c r="B834" t="s">
        <v>73</v>
      </c>
      <c r="C834" t="s">
        <v>74</v>
      </c>
      <c r="E834" t="str">
        <f>"080069704825"</f>
        <v>080069704825</v>
      </c>
      <c r="F834" s="3">
        <v>45996</v>
      </c>
      <c r="G834">
        <v>202609</v>
      </c>
      <c r="H834" t="s">
        <v>75</v>
      </c>
      <c r="I834" t="s">
        <v>76</v>
      </c>
      <c r="J834" t="s">
        <v>77</v>
      </c>
      <c r="K834" t="s">
        <v>78</v>
      </c>
      <c r="L834" t="s">
        <v>755</v>
      </c>
      <c r="M834" t="s">
        <v>756</v>
      </c>
      <c r="N834" t="s">
        <v>757</v>
      </c>
      <c r="O834" t="s">
        <v>89</v>
      </c>
      <c r="P834" t="str">
        <f>"4170072267                    "</f>
        <v xml:space="preserve">4170072267                    </v>
      </c>
      <c r="Q834">
        <v>0</v>
      </c>
      <c r="R834">
        <v>0</v>
      </c>
      <c r="S834">
        <v>0</v>
      </c>
      <c r="T834">
        <v>0</v>
      </c>
      <c r="U834">
        <v>0</v>
      </c>
      <c r="V834">
        <v>0</v>
      </c>
      <c r="W834">
        <v>0</v>
      </c>
      <c r="X834">
        <v>0</v>
      </c>
      <c r="Y834">
        <v>0</v>
      </c>
      <c r="Z834">
        <v>0</v>
      </c>
      <c r="AA834">
        <v>0</v>
      </c>
      <c r="AB834">
        <v>0</v>
      </c>
      <c r="AC834">
        <v>0</v>
      </c>
      <c r="AD834">
        <v>0</v>
      </c>
      <c r="AE834">
        <v>0</v>
      </c>
      <c r="AF834">
        <v>0</v>
      </c>
      <c r="AG834">
        <v>0</v>
      </c>
      <c r="AH834">
        <v>0</v>
      </c>
      <c r="AI834">
        <v>0</v>
      </c>
      <c r="AJ834">
        <v>0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49.45</v>
      </c>
      <c r="AR834">
        <v>0</v>
      </c>
      <c r="AS834">
        <v>0</v>
      </c>
      <c r="AT834">
        <v>0</v>
      </c>
      <c r="AU834">
        <v>0</v>
      </c>
      <c r="AV834">
        <v>0</v>
      </c>
      <c r="AW834">
        <v>0</v>
      </c>
      <c r="AX834">
        <v>0</v>
      </c>
      <c r="AY834">
        <v>0</v>
      </c>
      <c r="AZ834">
        <v>0</v>
      </c>
      <c r="BA834">
        <v>0</v>
      </c>
      <c r="BB834">
        <v>0</v>
      </c>
      <c r="BC834">
        <v>0</v>
      </c>
      <c r="BD834">
        <v>0</v>
      </c>
      <c r="BE834">
        <v>0</v>
      </c>
      <c r="BF834">
        <v>0</v>
      </c>
      <c r="BG834">
        <v>0</v>
      </c>
      <c r="BH834">
        <v>1</v>
      </c>
      <c r="BI834">
        <v>1</v>
      </c>
      <c r="BJ834">
        <v>1.1000000000000001</v>
      </c>
      <c r="BK834">
        <v>1.5</v>
      </c>
      <c r="BL834">
        <v>147.38</v>
      </c>
      <c r="BM834">
        <v>22.11</v>
      </c>
      <c r="BN834">
        <v>169.49</v>
      </c>
      <c r="BO834">
        <v>169.49</v>
      </c>
      <c r="BQ834" t="s">
        <v>758</v>
      </c>
      <c r="BR834" t="s">
        <v>82</v>
      </c>
      <c r="BS834" s="3">
        <v>46000</v>
      </c>
      <c r="BT834" s="4">
        <v>0.63472222222222219</v>
      </c>
      <c r="BU834" t="s">
        <v>759</v>
      </c>
      <c r="BV834" t="s">
        <v>84</v>
      </c>
      <c r="BY834">
        <v>5510</v>
      </c>
      <c r="BZ834" t="s">
        <v>35</v>
      </c>
      <c r="CC834" t="s">
        <v>756</v>
      </c>
      <c r="CD834">
        <v>3760</v>
      </c>
      <c r="CE834" t="s">
        <v>86</v>
      </c>
      <c r="CF834" s="3">
        <v>46000</v>
      </c>
      <c r="CI834">
        <v>5</v>
      </c>
      <c r="CJ834">
        <v>2</v>
      </c>
      <c r="CK834">
        <v>23</v>
      </c>
      <c r="CL834" t="s">
        <v>87</v>
      </c>
    </row>
    <row r="835" spans="1:90" x14ac:dyDescent="0.3">
      <c r="A835" t="s">
        <v>72</v>
      </c>
      <c r="B835" t="s">
        <v>73</v>
      </c>
      <c r="C835" t="s">
        <v>74</v>
      </c>
      <c r="E835" t="str">
        <f>"080069704836"</f>
        <v>080069704836</v>
      </c>
      <c r="F835" s="3">
        <v>45996</v>
      </c>
      <c r="G835">
        <v>202609</v>
      </c>
      <c r="H835" t="s">
        <v>75</v>
      </c>
      <c r="I835" t="s">
        <v>76</v>
      </c>
      <c r="J835" t="s">
        <v>77</v>
      </c>
      <c r="K835" t="s">
        <v>78</v>
      </c>
      <c r="L835" t="s">
        <v>156</v>
      </c>
      <c r="M835" t="s">
        <v>157</v>
      </c>
      <c r="N835" t="s">
        <v>964</v>
      </c>
      <c r="O835" t="s">
        <v>89</v>
      </c>
      <c r="P835" t="str">
        <f>"4170072045                    "</f>
        <v xml:space="preserve">4170072045                    </v>
      </c>
      <c r="Q835">
        <v>0</v>
      </c>
      <c r="R835">
        <v>0</v>
      </c>
      <c r="S835">
        <v>0</v>
      </c>
      <c r="T835">
        <v>0</v>
      </c>
      <c r="U835">
        <v>0</v>
      </c>
      <c r="V835">
        <v>0</v>
      </c>
      <c r="W835">
        <v>0</v>
      </c>
      <c r="X835">
        <v>0</v>
      </c>
      <c r="Y835">
        <v>0</v>
      </c>
      <c r="Z835">
        <v>0</v>
      </c>
      <c r="AA835">
        <v>0</v>
      </c>
      <c r="AB835">
        <v>0</v>
      </c>
      <c r="AC835">
        <v>0</v>
      </c>
      <c r="AD835">
        <v>0</v>
      </c>
      <c r="AE835">
        <v>0</v>
      </c>
      <c r="AF835">
        <v>0</v>
      </c>
      <c r="AG835">
        <v>0</v>
      </c>
      <c r="AH835">
        <v>0</v>
      </c>
      <c r="AI835">
        <v>0</v>
      </c>
      <c r="AJ835">
        <v>0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25.52</v>
      </c>
      <c r="AR835">
        <v>0</v>
      </c>
      <c r="AS835">
        <v>0</v>
      </c>
      <c r="AT835">
        <v>0</v>
      </c>
      <c r="AU835">
        <v>0</v>
      </c>
      <c r="AV835">
        <v>0</v>
      </c>
      <c r="AW835">
        <v>0</v>
      </c>
      <c r="AX835">
        <v>0</v>
      </c>
      <c r="AY835">
        <v>0</v>
      </c>
      <c r="AZ835">
        <v>0</v>
      </c>
      <c r="BA835">
        <v>0</v>
      </c>
      <c r="BB835">
        <v>0</v>
      </c>
      <c r="BC835">
        <v>0</v>
      </c>
      <c r="BD835">
        <v>0</v>
      </c>
      <c r="BE835">
        <v>0</v>
      </c>
      <c r="BF835">
        <v>0</v>
      </c>
      <c r="BG835">
        <v>0</v>
      </c>
      <c r="BH835">
        <v>1</v>
      </c>
      <c r="BI835">
        <v>1</v>
      </c>
      <c r="BJ835">
        <v>0.2</v>
      </c>
      <c r="BK835">
        <v>1</v>
      </c>
      <c r="BL835">
        <v>76.06</v>
      </c>
      <c r="BM835">
        <v>11.41</v>
      </c>
      <c r="BN835">
        <v>87.47</v>
      </c>
      <c r="BO835">
        <v>87.47</v>
      </c>
      <c r="BQ835" t="s">
        <v>965</v>
      </c>
      <c r="BR835" t="s">
        <v>82</v>
      </c>
      <c r="BS835" s="3">
        <v>45999</v>
      </c>
      <c r="BT835" s="4">
        <v>0.43680555555555556</v>
      </c>
      <c r="BU835" t="s">
        <v>1494</v>
      </c>
      <c r="BV835" t="s">
        <v>84</v>
      </c>
      <c r="BY835">
        <v>1200</v>
      </c>
      <c r="CA835" t="s">
        <v>967</v>
      </c>
      <c r="CC835" t="s">
        <v>157</v>
      </c>
      <c r="CD835">
        <v>7500</v>
      </c>
      <c r="CE835" t="s">
        <v>134</v>
      </c>
      <c r="CF835" s="3">
        <v>46000</v>
      </c>
      <c r="CI835">
        <v>1</v>
      </c>
      <c r="CJ835">
        <v>1</v>
      </c>
      <c r="CK835">
        <v>21</v>
      </c>
      <c r="CL835" t="s">
        <v>87</v>
      </c>
    </row>
    <row r="836" spans="1:90" x14ac:dyDescent="0.3">
      <c r="A836" t="s">
        <v>72</v>
      </c>
      <c r="B836" t="s">
        <v>73</v>
      </c>
      <c r="C836" t="s">
        <v>74</v>
      </c>
      <c r="E836" t="str">
        <f>"080069704874"</f>
        <v>080069704874</v>
      </c>
      <c r="F836" s="3">
        <v>45996</v>
      </c>
      <c r="G836">
        <v>202609</v>
      </c>
      <c r="H836" t="s">
        <v>75</v>
      </c>
      <c r="I836" t="s">
        <v>76</v>
      </c>
      <c r="J836" t="s">
        <v>77</v>
      </c>
      <c r="K836" t="s">
        <v>78</v>
      </c>
      <c r="L836" t="s">
        <v>302</v>
      </c>
      <c r="M836" t="s">
        <v>303</v>
      </c>
      <c r="N836" t="s">
        <v>1615</v>
      </c>
      <c r="O836" t="s">
        <v>80</v>
      </c>
      <c r="P836" t="str">
        <f>"4170072224                    "</f>
        <v xml:space="preserve">4170072224                    </v>
      </c>
      <c r="Q836">
        <v>0</v>
      </c>
      <c r="R836">
        <v>0</v>
      </c>
      <c r="S836">
        <v>0</v>
      </c>
      <c r="T836">
        <v>0</v>
      </c>
      <c r="U836">
        <v>0</v>
      </c>
      <c r="V836">
        <v>0</v>
      </c>
      <c r="W836">
        <v>0</v>
      </c>
      <c r="X836">
        <v>0</v>
      </c>
      <c r="Y836">
        <v>0</v>
      </c>
      <c r="Z836">
        <v>0</v>
      </c>
      <c r="AA836">
        <v>0</v>
      </c>
      <c r="AB836">
        <v>0</v>
      </c>
      <c r="AC836">
        <v>0</v>
      </c>
      <c r="AD836">
        <v>0</v>
      </c>
      <c r="AE836">
        <v>0</v>
      </c>
      <c r="AF836">
        <v>0</v>
      </c>
      <c r="AG836">
        <v>0</v>
      </c>
      <c r="AH836">
        <v>0</v>
      </c>
      <c r="AI836">
        <v>0</v>
      </c>
      <c r="AJ836">
        <v>0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49.36</v>
      </c>
      <c r="AR836">
        <v>0</v>
      </c>
      <c r="AS836">
        <v>0</v>
      </c>
      <c r="AT836">
        <v>0</v>
      </c>
      <c r="AU836">
        <v>0</v>
      </c>
      <c r="AV836">
        <v>0</v>
      </c>
      <c r="AW836">
        <v>0</v>
      </c>
      <c r="AX836">
        <v>0</v>
      </c>
      <c r="AY836">
        <v>0</v>
      </c>
      <c r="AZ836">
        <v>0</v>
      </c>
      <c r="BA836">
        <v>0</v>
      </c>
      <c r="BB836">
        <v>0</v>
      </c>
      <c r="BC836">
        <v>0</v>
      </c>
      <c r="BD836">
        <v>0</v>
      </c>
      <c r="BE836">
        <v>0</v>
      </c>
      <c r="BF836">
        <v>0</v>
      </c>
      <c r="BG836">
        <v>0</v>
      </c>
      <c r="BH836">
        <v>1</v>
      </c>
      <c r="BI836">
        <v>4</v>
      </c>
      <c r="BJ836">
        <v>4.0999999999999996</v>
      </c>
      <c r="BK836">
        <v>5</v>
      </c>
      <c r="BL836">
        <v>153.19999999999999</v>
      </c>
      <c r="BM836">
        <v>22.98</v>
      </c>
      <c r="BN836">
        <v>176.18</v>
      </c>
      <c r="BO836">
        <v>176.18</v>
      </c>
      <c r="BQ836" t="s">
        <v>1616</v>
      </c>
      <c r="BR836" t="s">
        <v>82</v>
      </c>
      <c r="BS836" s="3">
        <v>45999</v>
      </c>
      <c r="BT836" s="4">
        <v>0.64722222222222225</v>
      </c>
      <c r="BU836" t="s">
        <v>1617</v>
      </c>
      <c r="BV836" t="s">
        <v>84</v>
      </c>
      <c r="BY836">
        <v>20332</v>
      </c>
      <c r="CA836">
        <v>8507115621084</v>
      </c>
      <c r="CC836" t="s">
        <v>303</v>
      </c>
      <c r="CD836" s="5" t="s">
        <v>433</v>
      </c>
      <c r="CE836" t="s">
        <v>86</v>
      </c>
      <c r="CF836" s="3">
        <v>46000</v>
      </c>
      <c r="CI836">
        <v>1</v>
      </c>
      <c r="CJ836">
        <v>1</v>
      </c>
      <c r="CK836">
        <v>41</v>
      </c>
      <c r="CL836" t="s">
        <v>87</v>
      </c>
    </row>
    <row r="837" spans="1:90" x14ac:dyDescent="0.3">
      <c r="A837" t="s">
        <v>72</v>
      </c>
      <c r="B837" t="s">
        <v>73</v>
      </c>
      <c r="C837" t="s">
        <v>74</v>
      </c>
      <c r="E837" t="str">
        <f>"080069704861"</f>
        <v>080069704861</v>
      </c>
      <c r="F837" s="3">
        <v>45996</v>
      </c>
      <c r="G837">
        <v>202609</v>
      </c>
      <c r="H837" t="s">
        <v>75</v>
      </c>
      <c r="I837" t="s">
        <v>76</v>
      </c>
      <c r="J837" t="s">
        <v>77</v>
      </c>
      <c r="K837" t="s">
        <v>78</v>
      </c>
      <c r="L837" t="s">
        <v>1618</v>
      </c>
      <c r="M837" t="s">
        <v>1619</v>
      </c>
      <c r="N837" t="s">
        <v>1620</v>
      </c>
      <c r="O837" t="s">
        <v>89</v>
      </c>
      <c r="P837" t="str">
        <f>"4170072227                    "</f>
        <v xml:space="preserve">4170072227                    </v>
      </c>
      <c r="Q837">
        <v>0</v>
      </c>
      <c r="R837">
        <v>0</v>
      </c>
      <c r="S837">
        <v>0</v>
      </c>
      <c r="T837">
        <v>0</v>
      </c>
      <c r="U837">
        <v>0</v>
      </c>
      <c r="V837">
        <v>0</v>
      </c>
      <c r="W837">
        <v>0</v>
      </c>
      <c r="X837">
        <v>0</v>
      </c>
      <c r="Y837">
        <v>0</v>
      </c>
      <c r="Z837">
        <v>0</v>
      </c>
      <c r="AA837">
        <v>0</v>
      </c>
      <c r="AB837">
        <v>0</v>
      </c>
      <c r="AC837">
        <v>0</v>
      </c>
      <c r="AD837">
        <v>0</v>
      </c>
      <c r="AE837">
        <v>0</v>
      </c>
      <c r="AF837">
        <v>0</v>
      </c>
      <c r="AG837">
        <v>0</v>
      </c>
      <c r="AH837">
        <v>0</v>
      </c>
      <c r="AI837">
        <v>0</v>
      </c>
      <c r="AJ837">
        <v>0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49.45</v>
      </c>
      <c r="AR837">
        <v>0</v>
      </c>
      <c r="AS837">
        <v>0</v>
      </c>
      <c r="AT837">
        <v>0</v>
      </c>
      <c r="AU837">
        <v>0</v>
      </c>
      <c r="AV837">
        <v>0</v>
      </c>
      <c r="AW837">
        <v>0</v>
      </c>
      <c r="AX837">
        <v>0</v>
      </c>
      <c r="AY837">
        <v>0</v>
      </c>
      <c r="AZ837">
        <v>0</v>
      </c>
      <c r="BA837">
        <v>0</v>
      </c>
      <c r="BB837">
        <v>0</v>
      </c>
      <c r="BC837">
        <v>0</v>
      </c>
      <c r="BD837">
        <v>0</v>
      </c>
      <c r="BE837">
        <v>0</v>
      </c>
      <c r="BF837">
        <v>0</v>
      </c>
      <c r="BG837">
        <v>0</v>
      </c>
      <c r="BH837">
        <v>1</v>
      </c>
      <c r="BI837">
        <v>1</v>
      </c>
      <c r="BJ837">
        <v>0.2</v>
      </c>
      <c r="BK837">
        <v>1</v>
      </c>
      <c r="BL837">
        <v>147.38</v>
      </c>
      <c r="BM837">
        <v>22.11</v>
      </c>
      <c r="BN837">
        <v>169.49</v>
      </c>
      <c r="BO837">
        <v>169.49</v>
      </c>
      <c r="BQ837" t="s">
        <v>1621</v>
      </c>
      <c r="BR837" t="s">
        <v>82</v>
      </c>
      <c r="BS837" s="3">
        <v>45999</v>
      </c>
      <c r="BT837" s="4">
        <v>0.49791666666666667</v>
      </c>
      <c r="BU837" t="s">
        <v>232</v>
      </c>
      <c r="BV837" t="s">
        <v>84</v>
      </c>
      <c r="BY837">
        <v>1200</v>
      </c>
      <c r="CA837" t="s">
        <v>1622</v>
      </c>
      <c r="CC837" t="s">
        <v>1619</v>
      </c>
      <c r="CD837">
        <v>4490</v>
      </c>
      <c r="CE837" t="s">
        <v>134</v>
      </c>
      <c r="CF837" s="3">
        <v>45999</v>
      </c>
      <c r="CI837">
        <v>5</v>
      </c>
      <c r="CJ837">
        <v>1</v>
      </c>
      <c r="CK837">
        <v>23</v>
      </c>
      <c r="CL837" t="s">
        <v>87</v>
      </c>
    </row>
    <row r="838" spans="1:90" x14ac:dyDescent="0.3">
      <c r="A838" t="s">
        <v>72</v>
      </c>
      <c r="B838" t="s">
        <v>73</v>
      </c>
      <c r="C838" t="s">
        <v>74</v>
      </c>
      <c r="E838" t="str">
        <f>"080069704890"</f>
        <v>080069704890</v>
      </c>
      <c r="F838" s="3">
        <v>45996</v>
      </c>
      <c r="G838">
        <v>202609</v>
      </c>
      <c r="H838" t="s">
        <v>75</v>
      </c>
      <c r="I838" t="s">
        <v>76</v>
      </c>
      <c r="J838" t="s">
        <v>77</v>
      </c>
      <c r="K838" t="s">
        <v>78</v>
      </c>
      <c r="L838" t="s">
        <v>698</v>
      </c>
      <c r="M838" t="s">
        <v>698</v>
      </c>
      <c r="N838" t="s">
        <v>543</v>
      </c>
      <c r="O838" t="s">
        <v>89</v>
      </c>
      <c r="P838" t="str">
        <f>"4170072080                    "</f>
        <v xml:space="preserve">4170072080                    </v>
      </c>
      <c r="Q838">
        <v>0</v>
      </c>
      <c r="R838">
        <v>0</v>
      </c>
      <c r="S838">
        <v>0</v>
      </c>
      <c r="T838">
        <v>0</v>
      </c>
      <c r="U838">
        <v>0</v>
      </c>
      <c r="V838">
        <v>0</v>
      </c>
      <c r="W838">
        <v>0</v>
      </c>
      <c r="X838">
        <v>0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>
        <v>0</v>
      </c>
      <c r="AG838">
        <v>0</v>
      </c>
      <c r="AH838">
        <v>0</v>
      </c>
      <c r="AI838">
        <v>0</v>
      </c>
      <c r="AJ838">
        <v>0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35.9</v>
      </c>
      <c r="AR838">
        <v>0</v>
      </c>
      <c r="AS838">
        <v>0</v>
      </c>
      <c r="AT838">
        <v>0</v>
      </c>
      <c r="AU838">
        <v>0</v>
      </c>
      <c r="AV838">
        <v>0</v>
      </c>
      <c r="AW838">
        <v>0</v>
      </c>
      <c r="AX838">
        <v>0</v>
      </c>
      <c r="AY838">
        <v>0</v>
      </c>
      <c r="AZ838">
        <v>0</v>
      </c>
      <c r="BA838">
        <v>0</v>
      </c>
      <c r="BB838">
        <v>0</v>
      </c>
      <c r="BC838">
        <v>0</v>
      </c>
      <c r="BD838">
        <v>0</v>
      </c>
      <c r="BE838">
        <v>0</v>
      </c>
      <c r="BF838">
        <v>0</v>
      </c>
      <c r="BG838">
        <v>0</v>
      </c>
      <c r="BH838">
        <v>1</v>
      </c>
      <c r="BI838">
        <v>1</v>
      </c>
      <c r="BJ838">
        <v>0.2</v>
      </c>
      <c r="BK838">
        <v>1</v>
      </c>
      <c r="BL838">
        <v>106.98</v>
      </c>
      <c r="BM838">
        <v>16.05</v>
      </c>
      <c r="BN838">
        <v>123.03</v>
      </c>
      <c r="BO838">
        <v>123.03</v>
      </c>
      <c r="BQ838" t="s">
        <v>544</v>
      </c>
      <c r="BR838" t="s">
        <v>82</v>
      </c>
      <c r="BS838" s="3">
        <v>45999</v>
      </c>
      <c r="BT838" s="4">
        <v>0.41666666666666669</v>
      </c>
      <c r="BU838" t="s">
        <v>1591</v>
      </c>
      <c r="BV838" t="s">
        <v>84</v>
      </c>
      <c r="BY838">
        <v>1200</v>
      </c>
      <c r="CC838" t="s">
        <v>698</v>
      </c>
      <c r="CD838">
        <v>1491</v>
      </c>
      <c r="CE838" t="s">
        <v>134</v>
      </c>
      <c r="CF838" s="3">
        <v>46000</v>
      </c>
      <c r="CI838">
        <v>1</v>
      </c>
      <c r="CJ838">
        <v>1</v>
      </c>
      <c r="CK838">
        <v>24</v>
      </c>
      <c r="CL838" t="s">
        <v>87</v>
      </c>
    </row>
    <row r="839" spans="1:90" x14ac:dyDescent="0.3">
      <c r="A839" t="s">
        <v>72</v>
      </c>
      <c r="B839" t="s">
        <v>73</v>
      </c>
      <c r="C839" t="s">
        <v>74</v>
      </c>
      <c r="E839" t="str">
        <f>"080069704914"</f>
        <v>080069704914</v>
      </c>
      <c r="F839" s="3">
        <v>45996</v>
      </c>
      <c r="G839">
        <v>202609</v>
      </c>
      <c r="H839" t="s">
        <v>75</v>
      </c>
      <c r="I839" t="s">
        <v>76</v>
      </c>
      <c r="J839" t="s">
        <v>77</v>
      </c>
      <c r="K839" t="s">
        <v>78</v>
      </c>
      <c r="L839" t="s">
        <v>202</v>
      </c>
      <c r="M839" t="s">
        <v>203</v>
      </c>
      <c r="N839" t="s">
        <v>204</v>
      </c>
      <c r="O839" t="s">
        <v>89</v>
      </c>
      <c r="P839" t="str">
        <f>"4170072125                    "</f>
        <v xml:space="preserve">4170072125                    </v>
      </c>
      <c r="Q839">
        <v>0</v>
      </c>
      <c r="R839">
        <v>0</v>
      </c>
      <c r="S839">
        <v>0</v>
      </c>
      <c r="T839">
        <v>0</v>
      </c>
      <c r="U839">
        <v>0</v>
      </c>
      <c r="V839">
        <v>0</v>
      </c>
      <c r="W839">
        <v>0</v>
      </c>
      <c r="X839">
        <v>0</v>
      </c>
      <c r="Y839">
        <v>0</v>
      </c>
      <c r="Z839">
        <v>0</v>
      </c>
      <c r="AA839">
        <v>0</v>
      </c>
      <c r="AB839">
        <v>0</v>
      </c>
      <c r="AC839">
        <v>0</v>
      </c>
      <c r="AD839">
        <v>0</v>
      </c>
      <c r="AE839">
        <v>0</v>
      </c>
      <c r="AF839">
        <v>0</v>
      </c>
      <c r="AG839">
        <v>0</v>
      </c>
      <c r="AH839">
        <v>0</v>
      </c>
      <c r="AI839">
        <v>0</v>
      </c>
      <c r="AJ839">
        <v>0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205.77</v>
      </c>
      <c r="AR839">
        <v>0</v>
      </c>
      <c r="AS839">
        <v>0</v>
      </c>
      <c r="AT839">
        <v>0</v>
      </c>
      <c r="AU839">
        <v>0</v>
      </c>
      <c r="AV839">
        <v>0</v>
      </c>
      <c r="AW839">
        <v>0</v>
      </c>
      <c r="AX839">
        <v>0</v>
      </c>
      <c r="AY839">
        <v>0</v>
      </c>
      <c r="AZ839">
        <v>0</v>
      </c>
      <c r="BA839">
        <v>0</v>
      </c>
      <c r="BB839">
        <v>0</v>
      </c>
      <c r="BC839">
        <v>0</v>
      </c>
      <c r="BD839">
        <v>0</v>
      </c>
      <c r="BE839">
        <v>0</v>
      </c>
      <c r="BF839">
        <v>0</v>
      </c>
      <c r="BG839">
        <v>0</v>
      </c>
      <c r="BH839">
        <v>1</v>
      </c>
      <c r="BI839">
        <v>9</v>
      </c>
      <c r="BJ839">
        <v>3.4</v>
      </c>
      <c r="BK839">
        <v>9</v>
      </c>
      <c r="BL839">
        <v>613.24</v>
      </c>
      <c r="BM839">
        <v>91.99</v>
      </c>
      <c r="BN839">
        <v>705.23</v>
      </c>
      <c r="BO839">
        <v>705.23</v>
      </c>
      <c r="BQ839" t="s">
        <v>205</v>
      </c>
      <c r="BR839" t="s">
        <v>82</v>
      </c>
      <c r="BS839" s="3">
        <v>45999</v>
      </c>
      <c r="BT839" s="4">
        <v>0.41041666666666665</v>
      </c>
      <c r="BU839" t="s">
        <v>1520</v>
      </c>
      <c r="BV839" t="s">
        <v>84</v>
      </c>
      <c r="BY839">
        <v>16965</v>
      </c>
      <c r="CA839">
        <v>7908245451080</v>
      </c>
      <c r="CC839" t="s">
        <v>203</v>
      </c>
      <c r="CD839">
        <v>2531</v>
      </c>
      <c r="CE839" t="s">
        <v>86</v>
      </c>
      <c r="CF839" s="3">
        <v>46000</v>
      </c>
      <c r="CI839">
        <v>1</v>
      </c>
      <c r="CJ839">
        <v>1</v>
      </c>
      <c r="CK839">
        <v>23</v>
      </c>
      <c r="CL839" t="s">
        <v>87</v>
      </c>
    </row>
    <row r="840" spans="1:90" x14ac:dyDescent="0.3">
      <c r="A840" t="s">
        <v>72</v>
      </c>
      <c r="B840" t="s">
        <v>73</v>
      </c>
      <c r="C840" t="s">
        <v>74</v>
      </c>
      <c r="E840" t="str">
        <f>"080069704949"</f>
        <v>080069704949</v>
      </c>
      <c r="F840" s="3">
        <v>45996</v>
      </c>
      <c r="G840">
        <v>202609</v>
      </c>
      <c r="H840" t="s">
        <v>75</v>
      </c>
      <c r="I840" t="s">
        <v>76</v>
      </c>
      <c r="J840" t="s">
        <v>77</v>
      </c>
      <c r="K840" t="s">
        <v>78</v>
      </c>
      <c r="L840" t="s">
        <v>169</v>
      </c>
      <c r="M840" t="s">
        <v>170</v>
      </c>
      <c r="N840" t="s">
        <v>171</v>
      </c>
      <c r="O840" t="s">
        <v>89</v>
      </c>
      <c r="P840" t="str">
        <f>"4170072203                    "</f>
        <v xml:space="preserve">4170072203                    </v>
      </c>
      <c r="Q840">
        <v>0</v>
      </c>
      <c r="R840">
        <v>0</v>
      </c>
      <c r="S840">
        <v>0</v>
      </c>
      <c r="T840">
        <v>0</v>
      </c>
      <c r="U840">
        <v>0</v>
      </c>
      <c r="V840">
        <v>0</v>
      </c>
      <c r="W840">
        <v>0</v>
      </c>
      <c r="X840">
        <v>0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0</v>
      </c>
      <c r="AE840">
        <v>0</v>
      </c>
      <c r="AF840">
        <v>0</v>
      </c>
      <c r="AG840">
        <v>0</v>
      </c>
      <c r="AH840">
        <v>0</v>
      </c>
      <c r="AI840">
        <v>0</v>
      </c>
      <c r="AJ840">
        <v>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49.45</v>
      </c>
      <c r="AR840">
        <v>0</v>
      </c>
      <c r="AS840">
        <v>0</v>
      </c>
      <c r="AT840">
        <v>0</v>
      </c>
      <c r="AU840">
        <v>0</v>
      </c>
      <c r="AV840">
        <v>0</v>
      </c>
      <c r="AW840">
        <v>0</v>
      </c>
      <c r="AX840">
        <v>0</v>
      </c>
      <c r="AY840">
        <v>0</v>
      </c>
      <c r="AZ840">
        <v>0</v>
      </c>
      <c r="BA840">
        <v>0</v>
      </c>
      <c r="BB840">
        <v>0</v>
      </c>
      <c r="BC840">
        <v>0</v>
      </c>
      <c r="BD840">
        <v>0</v>
      </c>
      <c r="BE840">
        <v>0</v>
      </c>
      <c r="BF840">
        <v>0</v>
      </c>
      <c r="BG840">
        <v>0</v>
      </c>
      <c r="BH840">
        <v>1</v>
      </c>
      <c r="BI840">
        <v>1</v>
      </c>
      <c r="BJ840">
        <v>0.2</v>
      </c>
      <c r="BK840">
        <v>1</v>
      </c>
      <c r="BL840">
        <v>147.38</v>
      </c>
      <c r="BM840">
        <v>22.11</v>
      </c>
      <c r="BN840">
        <v>169.49</v>
      </c>
      <c r="BO840">
        <v>169.49</v>
      </c>
      <c r="BQ840" t="s">
        <v>172</v>
      </c>
      <c r="BR840" t="s">
        <v>82</v>
      </c>
      <c r="BS840" s="3">
        <v>45999</v>
      </c>
      <c r="BT840" s="4">
        <v>0.6479166666666667</v>
      </c>
      <c r="BU840" t="s">
        <v>1524</v>
      </c>
      <c r="BV840" t="s">
        <v>84</v>
      </c>
      <c r="BY840">
        <v>1200</v>
      </c>
      <c r="CA840">
        <v>8410105735081</v>
      </c>
      <c r="CC840" t="s">
        <v>170</v>
      </c>
      <c r="CD840">
        <v>1028</v>
      </c>
      <c r="CE840" t="s">
        <v>134</v>
      </c>
      <c r="CF840" s="3">
        <v>45999</v>
      </c>
      <c r="CI840">
        <v>1</v>
      </c>
      <c r="CJ840">
        <v>1</v>
      </c>
      <c r="CK840">
        <v>23</v>
      </c>
      <c r="CL840" t="s">
        <v>87</v>
      </c>
    </row>
    <row r="841" spans="1:90" x14ac:dyDescent="0.3">
      <c r="A841" t="s">
        <v>72</v>
      </c>
      <c r="B841" t="s">
        <v>73</v>
      </c>
      <c r="C841" t="s">
        <v>74</v>
      </c>
      <c r="E841" t="str">
        <f>"080069704924"</f>
        <v>080069704924</v>
      </c>
      <c r="F841" s="3">
        <v>45996</v>
      </c>
      <c r="G841">
        <v>202609</v>
      </c>
      <c r="H841" t="s">
        <v>75</v>
      </c>
      <c r="I841" t="s">
        <v>76</v>
      </c>
      <c r="J841" t="s">
        <v>77</v>
      </c>
      <c r="K841" t="s">
        <v>78</v>
      </c>
      <c r="L841" t="s">
        <v>75</v>
      </c>
      <c r="M841" t="s">
        <v>76</v>
      </c>
      <c r="N841" t="s">
        <v>1623</v>
      </c>
      <c r="O841" t="s">
        <v>89</v>
      </c>
      <c r="P841" t="str">
        <f>"4170072150                    "</f>
        <v xml:space="preserve">4170072150                    </v>
      </c>
      <c r="Q841">
        <v>0</v>
      </c>
      <c r="R841">
        <v>0</v>
      </c>
      <c r="S841">
        <v>0</v>
      </c>
      <c r="T841">
        <v>0</v>
      </c>
      <c r="U841">
        <v>0</v>
      </c>
      <c r="V841">
        <v>0</v>
      </c>
      <c r="W841">
        <v>0</v>
      </c>
      <c r="X841">
        <v>0</v>
      </c>
      <c r="Y841">
        <v>0</v>
      </c>
      <c r="Z841">
        <v>0</v>
      </c>
      <c r="AA841">
        <v>0</v>
      </c>
      <c r="AB841">
        <v>0</v>
      </c>
      <c r="AC841">
        <v>0</v>
      </c>
      <c r="AD841">
        <v>0</v>
      </c>
      <c r="AE841">
        <v>0</v>
      </c>
      <c r="AF841">
        <v>0</v>
      </c>
      <c r="AG841">
        <v>0</v>
      </c>
      <c r="AH841">
        <v>0</v>
      </c>
      <c r="AI841">
        <v>0</v>
      </c>
      <c r="AJ841">
        <v>0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19.940000000000001</v>
      </c>
      <c r="AR841">
        <v>0</v>
      </c>
      <c r="AS841">
        <v>0</v>
      </c>
      <c r="AT841">
        <v>0</v>
      </c>
      <c r="AU841">
        <v>0</v>
      </c>
      <c r="AV841">
        <v>0</v>
      </c>
      <c r="AW841">
        <v>0</v>
      </c>
      <c r="AX841">
        <v>0</v>
      </c>
      <c r="AY841">
        <v>0</v>
      </c>
      <c r="AZ841">
        <v>0</v>
      </c>
      <c r="BA841">
        <v>0</v>
      </c>
      <c r="BB841">
        <v>0</v>
      </c>
      <c r="BC841">
        <v>0</v>
      </c>
      <c r="BD841">
        <v>0</v>
      </c>
      <c r="BE841">
        <v>0</v>
      </c>
      <c r="BF841">
        <v>0</v>
      </c>
      <c r="BG841">
        <v>0</v>
      </c>
      <c r="BH841">
        <v>1</v>
      </c>
      <c r="BI841">
        <v>1</v>
      </c>
      <c r="BJ841">
        <v>0.2</v>
      </c>
      <c r="BK841">
        <v>1</v>
      </c>
      <c r="BL841">
        <v>59.42</v>
      </c>
      <c r="BM841">
        <v>8.91</v>
      </c>
      <c r="BN841">
        <v>68.33</v>
      </c>
      <c r="BO841">
        <v>68.33</v>
      </c>
      <c r="BQ841" t="s">
        <v>1624</v>
      </c>
      <c r="BR841" t="s">
        <v>82</v>
      </c>
      <c r="BS841" s="3">
        <v>45999</v>
      </c>
      <c r="BT841" s="4">
        <v>0.41666666666666669</v>
      </c>
      <c r="BU841" t="s">
        <v>1625</v>
      </c>
      <c r="BV841" t="s">
        <v>84</v>
      </c>
      <c r="BY841">
        <v>1200</v>
      </c>
      <c r="CC841" t="s">
        <v>76</v>
      </c>
      <c r="CD841">
        <v>1610</v>
      </c>
      <c r="CE841" t="s">
        <v>134</v>
      </c>
      <c r="CF841" s="3">
        <v>46000</v>
      </c>
      <c r="CI841">
        <v>1</v>
      </c>
      <c r="CJ841">
        <v>1</v>
      </c>
      <c r="CK841">
        <v>22</v>
      </c>
      <c r="CL841" t="s">
        <v>87</v>
      </c>
    </row>
    <row r="842" spans="1:90" x14ac:dyDescent="0.3">
      <c r="A842" t="s">
        <v>72</v>
      </c>
      <c r="B842" t="s">
        <v>73</v>
      </c>
      <c r="C842" t="s">
        <v>74</v>
      </c>
      <c r="E842" t="str">
        <f>"080069704955"</f>
        <v>080069704955</v>
      </c>
      <c r="F842" s="3">
        <v>45996</v>
      </c>
      <c r="G842">
        <v>202609</v>
      </c>
      <c r="H842" t="s">
        <v>75</v>
      </c>
      <c r="I842" t="s">
        <v>76</v>
      </c>
      <c r="J842" t="s">
        <v>77</v>
      </c>
      <c r="K842" t="s">
        <v>78</v>
      </c>
      <c r="L842" t="s">
        <v>218</v>
      </c>
      <c r="M842" t="s">
        <v>219</v>
      </c>
      <c r="N842" t="s">
        <v>220</v>
      </c>
      <c r="O842" t="s">
        <v>89</v>
      </c>
      <c r="P842" t="str">
        <f>"4170072141                    "</f>
        <v xml:space="preserve">4170072141                    </v>
      </c>
      <c r="Q842">
        <v>0</v>
      </c>
      <c r="R842">
        <v>0</v>
      </c>
      <c r="S842">
        <v>0</v>
      </c>
      <c r="T842">
        <v>0</v>
      </c>
      <c r="U842">
        <v>0</v>
      </c>
      <c r="V842">
        <v>0</v>
      </c>
      <c r="W842">
        <v>0</v>
      </c>
      <c r="X842">
        <v>0</v>
      </c>
      <c r="Y842">
        <v>0</v>
      </c>
      <c r="Z842">
        <v>0</v>
      </c>
      <c r="AA842">
        <v>0</v>
      </c>
      <c r="AB842">
        <v>0</v>
      </c>
      <c r="AC842">
        <v>0</v>
      </c>
      <c r="AD842">
        <v>0</v>
      </c>
      <c r="AE842">
        <v>0</v>
      </c>
      <c r="AF842">
        <v>0</v>
      </c>
      <c r="AG842">
        <v>0</v>
      </c>
      <c r="AH842">
        <v>0</v>
      </c>
      <c r="AI842">
        <v>0</v>
      </c>
      <c r="AJ842">
        <v>0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71.790000000000006</v>
      </c>
      <c r="AR842">
        <v>0</v>
      </c>
      <c r="AS842">
        <v>0</v>
      </c>
      <c r="AT842">
        <v>0</v>
      </c>
      <c r="AU842">
        <v>0</v>
      </c>
      <c r="AV842">
        <v>0</v>
      </c>
      <c r="AW842">
        <v>0</v>
      </c>
      <c r="AX842">
        <v>0</v>
      </c>
      <c r="AY842">
        <v>0</v>
      </c>
      <c r="AZ842">
        <v>0</v>
      </c>
      <c r="BA842">
        <v>0</v>
      </c>
      <c r="BB842">
        <v>0</v>
      </c>
      <c r="BC842">
        <v>0</v>
      </c>
      <c r="BD842">
        <v>0</v>
      </c>
      <c r="BE842">
        <v>0</v>
      </c>
      <c r="BF842">
        <v>0</v>
      </c>
      <c r="BG842">
        <v>0</v>
      </c>
      <c r="BH842">
        <v>1</v>
      </c>
      <c r="BI842">
        <v>2</v>
      </c>
      <c r="BJ842">
        <v>2.9</v>
      </c>
      <c r="BK842">
        <v>3</v>
      </c>
      <c r="BL842">
        <v>213.94</v>
      </c>
      <c r="BM842">
        <v>32.090000000000003</v>
      </c>
      <c r="BN842">
        <v>246.03</v>
      </c>
      <c r="BO842">
        <v>246.03</v>
      </c>
      <c r="BQ842" t="s">
        <v>221</v>
      </c>
      <c r="BR842" t="s">
        <v>82</v>
      </c>
      <c r="BS842" s="3">
        <v>45999</v>
      </c>
      <c r="BT842" s="4">
        <v>0.33333333333333331</v>
      </c>
      <c r="BU842" t="s">
        <v>1294</v>
      </c>
      <c r="BV842" t="s">
        <v>84</v>
      </c>
      <c r="BY842">
        <v>14336</v>
      </c>
      <c r="CC842" t="s">
        <v>219</v>
      </c>
      <c r="CD842">
        <v>2740</v>
      </c>
      <c r="CE842" t="s">
        <v>93</v>
      </c>
      <c r="CF842" s="3">
        <v>46000</v>
      </c>
      <c r="CI842">
        <v>1</v>
      </c>
      <c r="CJ842">
        <v>1</v>
      </c>
      <c r="CK842">
        <v>23</v>
      </c>
      <c r="CL842" t="s">
        <v>87</v>
      </c>
    </row>
    <row r="843" spans="1:90" x14ac:dyDescent="0.3">
      <c r="A843" t="s">
        <v>72</v>
      </c>
      <c r="B843" t="s">
        <v>73</v>
      </c>
      <c r="C843" t="s">
        <v>74</v>
      </c>
      <c r="E843" t="str">
        <f>"080069704982"</f>
        <v>080069704982</v>
      </c>
      <c r="F843" s="3">
        <v>45996</v>
      </c>
      <c r="G843">
        <v>202609</v>
      </c>
      <c r="H843" t="s">
        <v>75</v>
      </c>
      <c r="I843" t="s">
        <v>76</v>
      </c>
      <c r="J843" t="s">
        <v>77</v>
      </c>
      <c r="K843" t="s">
        <v>78</v>
      </c>
      <c r="L843" t="s">
        <v>141</v>
      </c>
      <c r="M843" t="s">
        <v>142</v>
      </c>
      <c r="N843" t="s">
        <v>587</v>
      </c>
      <c r="O843" t="s">
        <v>89</v>
      </c>
      <c r="P843" t="str">
        <f>"4170072159                    "</f>
        <v xml:space="preserve">4170072159                    </v>
      </c>
      <c r="Q843">
        <v>0</v>
      </c>
      <c r="R843">
        <v>0</v>
      </c>
      <c r="S843">
        <v>0</v>
      </c>
      <c r="T843">
        <v>0</v>
      </c>
      <c r="U843">
        <v>0</v>
      </c>
      <c r="V843">
        <v>0</v>
      </c>
      <c r="W843">
        <v>0</v>
      </c>
      <c r="X843">
        <v>0</v>
      </c>
      <c r="Y843">
        <v>0</v>
      </c>
      <c r="Z843">
        <v>0</v>
      </c>
      <c r="AA843">
        <v>0</v>
      </c>
      <c r="AB843">
        <v>0</v>
      </c>
      <c r="AC843">
        <v>0</v>
      </c>
      <c r="AD843">
        <v>0</v>
      </c>
      <c r="AE843">
        <v>0</v>
      </c>
      <c r="AF843">
        <v>0</v>
      </c>
      <c r="AG843">
        <v>0</v>
      </c>
      <c r="AH843">
        <v>0</v>
      </c>
      <c r="AI843">
        <v>0</v>
      </c>
      <c r="AJ843">
        <v>0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25.52</v>
      </c>
      <c r="AR843">
        <v>0</v>
      </c>
      <c r="AS843">
        <v>0</v>
      </c>
      <c r="AT843">
        <v>0</v>
      </c>
      <c r="AU843">
        <v>0</v>
      </c>
      <c r="AV843">
        <v>0</v>
      </c>
      <c r="AW843">
        <v>0</v>
      </c>
      <c r="AX843">
        <v>0</v>
      </c>
      <c r="AY843">
        <v>0</v>
      </c>
      <c r="AZ843">
        <v>0</v>
      </c>
      <c r="BA843">
        <v>0</v>
      </c>
      <c r="BB843">
        <v>0</v>
      </c>
      <c r="BC843">
        <v>0</v>
      </c>
      <c r="BD843">
        <v>0</v>
      </c>
      <c r="BE843">
        <v>0</v>
      </c>
      <c r="BF843">
        <v>0</v>
      </c>
      <c r="BG843">
        <v>0</v>
      </c>
      <c r="BH843">
        <v>1</v>
      </c>
      <c r="BI843">
        <v>1</v>
      </c>
      <c r="BJ843">
        <v>0.2</v>
      </c>
      <c r="BK843">
        <v>1</v>
      </c>
      <c r="BL843">
        <v>76.06</v>
      </c>
      <c r="BM843">
        <v>11.41</v>
      </c>
      <c r="BN843">
        <v>87.47</v>
      </c>
      <c r="BO843">
        <v>87.47</v>
      </c>
      <c r="BQ843" t="s">
        <v>588</v>
      </c>
      <c r="BR843" t="s">
        <v>82</v>
      </c>
      <c r="BS843" s="3">
        <v>45999</v>
      </c>
      <c r="BT843" s="4">
        <v>0.38194444444444442</v>
      </c>
      <c r="BU843" t="s">
        <v>589</v>
      </c>
      <c r="BV843" t="s">
        <v>84</v>
      </c>
      <c r="BY843">
        <v>1200</v>
      </c>
      <c r="CA843" t="s">
        <v>571</v>
      </c>
      <c r="CC843" t="s">
        <v>142</v>
      </c>
      <c r="CD843">
        <v>6001</v>
      </c>
      <c r="CE843" t="s">
        <v>134</v>
      </c>
      <c r="CF843" s="3">
        <v>45999</v>
      </c>
      <c r="CI843">
        <v>1</v>
      </c>
      <c r="CJ843">
        <v>1</v>
      </c>
      <c r="CK843">
        <v>21</v>
      </c>
      <c r="CL843" t="s">
        <v>87</v>
      </c>
    </row>
    <row r="844" spans="1:90" x14ac:dyDescent="0.3">
      <c r="A844" t="s">
        <v>72</v>
      </c>
      <c r="B844" t="s">
        <v>73</v>
      </c>
      <c r="C844" t="s">
        <v>74</v>
      </c>
      <c r="E844" t="str">
        <f>"080069705020"</f>
        <v>080069705020</v>
      </c>
      <c r="F844" s="3">
        <v>45996</v>
      </c>
      <c r="G844">
        <v>202609</v>
      </c>
      <c r="H844" t="s">
        <v>75</v>
      </c>
      <c r="I844" t="s">
        <v>76</v>
      </c>
      <c r="J844" t="s">
        <v>77</v>
      </c>
      <c r="K844" t="s">
        <v>78</v>
      </c>
      <c r="L844" t="s">
        <v>156</v>
      </c>
      <c r="M844" t="s">
        <v>157</v>
      </c>
      <c r="N844" t="s">
        <v>261</v>
      </c>
      <c r="O844" t="s">
        <v>89</v>
      </c>
      <c r="P844" t="str">
        <f>"4170072269                    "</f>
        <v xml:space="preserve">4170072269                    </v>
      </c>
      <c r="Q844">
        <v>0</v>
      </c>
      <c r="R844">
        <v>0</v>
      </c>
      <c r="S844">
        <v>0</v>
      </c>
      <c r="T844">
        <v>0</v>
      </c>
      <c r="U844">
        <v>0</v>
      </c>
      <c r="V844">
        <v>0</v>
      </c>
      <c r="W844">
        <v>0</v>
      </c>
      <c r="X844">
        <v>0</v>
      </c>
      <c r="Y844">
        <v>0</v>
      </c>
      <c r="Z844">
        <v>0</v>
      </c>
      <c r="AA844">
        <v>0</v>
      </c>
      <c r="AB844">
        <v>0</v>
      </c>
      <c r="AC844">
        <v>0</v>
      </c>
      <c r="AD844">
        <v>0</v>
      </c>
      <c r="AE844">
        <v>0</v>
      </c>
      <c r="AF844">
        <v>0</v>
      </c>
      <c r="AG844">
        <v>0</v>
      </c>
      <c r="AH844">
        <v>0</v>
      </c>
      <c r="AI844">
        <v>0</v>
      </c>
      <c r="AJ844">
        <v>0</v>
      </c>
      <c r="AK844">
        <v>0</v>
      </c>
      <c r="AL844">
        <v>0</v>
      </c>
      <c r="AM844">
        <v>0</v>
      </c>
      <c r="AN844">
        <v>0</v>
      </c>
      <c r="AO844">
        <v>0</v>
      </c>
      <c r="AP844">
        <v>0</v>
      </c>
      <c r="AQ844">
        <v>25.52</v>
      </c>
      <c r="AR844">
        <v>0</v>
      </c>
      <c r="AS844">
        <v>0</v>
      </c>
      <c r="AT844">
        <v>0</v>
      </c>
      <c r="AU844">
        <v>0</v>
      </c>
      <c r="AV844">
        <v>0</v>
      </c>
      <c r="AW844">
        <v>0</v>
      </c>
      <c r="AX844">
        <v>0</v>
      </c>
      <c r="AY844">
        <v>0</v>
      </c>
      <c r="AZ844">
        <v>0</v>
      </c>
      <c r="BA844">
        <v>0</v>
      </c>
      <c r="BB844">
        <v>0</v>
      </c>
      <c r="BC844">
        <v>0</v>
      </c>
      <c r="BD844">
        <v>0</v>
      </c>
      <c r="BE844">
        <v>0</v>
      </c>
      <c r="BF844">
        <v>0</v>
      </c>
      <c r="BG844">
        <v>0</v>
      </c>
      <c r="BH844">
        <v>1</v>
      </c>
      <c r="BI844">
        <v>1</v>
      </c>
      <c r="BJ844">
        <v>0.2</v>
      </c>
      <c r="BK844">
        <v>1</v>
      </c>
      <c r="BL844">
        <v>76.06</v>
      </c>
      <c r="BM844">
        <v>11.41</v>
      </c>
      <c r="BN844">
        <v>87.47</v>
      </c>
      <c r="BO844">
        <v>87.47</v>
      </c>
      <c r="BQ844" t="s">
        <v>262</v>
      </c>
      <c r="BR844" t="s">
        <v>82</v>
      </c>
      <c r="BS844" s="3">
        <v>45999</v>
      </c>
      <c r="BT844" s="4">
        <v>0.42986111111111114</v>
      </c>
      <c r="BU844" t="s">
        <v>832</v>
      </c>
      <c r="BV844" t="s">
        <v>84</v>
      </c>
      <c r="BY844">
        <v>1200</v>
      </c>
      <c r="CA844" t="s">
        <v>833</v>
      </c>
      <c r="CC844" t="s">
        <v>157</v>
      </c>
      <c r="CD844">
        <v>7441</v>
      </c>
      <c r="CE844" t="s">
        <v>134</v>
      </c>
      <c r="CF844" s="3">
        <v>46000</v>
      </c>
      <c r="CI844">
        <v>1</v>
      </c>
      <c r="CJ844">
        <v>1</v>
      </c>
      <c r="CK844">
        <v>21</v>
      </c>
      <c r="CL844" t="s">
        <v>87</v>
      </c>
    </row>
    <row r="845" spans="1:90" x14ac:dyDescent="0.3">
      <c r="A845" t="s">
        <v>72</v>
      </c>
      <c r="B845" t="s">
        <v>73</v>
      </c>
      <c r="C845" t="s">
        <v>74</v>
      </c>
      <c r="E845" t="str">
        <f>"080069705002"</f>
        <v>080069705002</v>
      </c>
      <c r="F845" s="3">
        <v>45996</v>
      </c>
      <c r="G845">
        <v>202609</v>
      </c>
      <c r="H845" t="s">
        <v>75</v>
      </c>
      <c r="I845" t="s">
        <v>76</v>
      </c>
      <c r="J845" t="s">
        <v>77</v>
      </c>
      <c r="K845" t="s">
        <v>78</v>
      </c>
      <c r="L845" t="s">
        <v>176</v>
      </c>
      <c r="M845" t="s">
        <v>177</v>
      </c>
      <c r="N845" t="s">
        <v>178</v>
      </c>
      <c r="O845" t="s">
        <v>89</v>
      </c>
      <c r="P845" t="str">
        <f>"4170072142                    "</f>
        <v xml:space="preserve">4170072142                    </v>
      </c>
      <c r="Q845">
        <v>0</v>
      </c>
      <c r="R845">
        <v>0</v>
      </c>
      <c r="S845">
        <v>0</v>
      </c>
      <c r="T845">
        <v>0</v>
      </c>
      <c r="U845">
        <v>0</v>
      </c>
      <c r="V845">
        <v>0</v>
      </c>
      <c r="W845">
        <v>0</v>
      </c>
      <c r="X845">
        <v>0</v>
      </c>
      <c r="Y845">
        <v>0</v>
      </c>
      <c r="Z845">
        <v>0</v>
      </c>
      <c r="AA845">
        <v>0</v>
      </c>
      <c r="AB845">
        <v>0</v>
      </c>
      <c r="AC845">
        <v>0</v>
      </c>
      <c r="AD845">
        <v>0</v>
      </c>
      <c r="AE845">
        <v>0</v>
      </c>
      <c r="AF845">
        <v>0</v>
      </c>
      <c r="AG845">
        <v>0</v>
      </c>
      <c r="AH845">
        <v>0</v>
      </c>
      <c r="AI845">
        <v>0</v>
      </c>
      <c r="AJ845">
        <v>0</v>
      </c>
      <c r="AK845">
        <v>0</v>
      </c>
      <c r="AL845">
        <v>0</v>
      </c>
      <c r="AM845">
        <v>0</v>
      </c>
      <c r="AN845">
        <v>0</v>
      </c>
      <c r="AO845">
        <v>0</v>
      </c>
      <c r="AP845">
        <v>0</v>
      </c>
      <c r="AQ845">
        <v>19.940000000000001</v>
      </c>
      <c r="AR845">
        <v>0</v>
      </c>
      <c r="AS845">
        <v>0</v>
      </c>
      <c r="AT845">
        <v>0</v>
      </c>
      <c r="AU845">
        <v>0</v>
      </c>
      <c r="AV845">
        <v>0</v>
      </c>
      <c r="AW845">
        <v>0</v>
      </c>
      <c r="AX845">
        <v>0</v>
      </c>
      <c r="AY845">
        <v>0</v>
      </c>
      <c r="AZ845">
        <v>0</v>
      </c>
      <c r="BA845">
        <v>0</v>
      </c>
      <c r="BB845">
        <v>0</v>
      </c>
      <c r="BC845">
        <v>0</v>
      </c>
      <c r="BD845">
        <v>0</v>
      </c>
      <c r="BE845">
        <v>0</v>
      </c>
      <c r="BF845">
        <v>0</v>
      </c>
      <c r="BG845">
        <v>0</v>
      </c>
      <c r="BH845">
        <v>1</v>
      </c>
      <c r="BI845">
        <v>1</v>
      </c>
      <c r="BJ845">
        <v>0.9</v>
      </c>
      <c r="BK845">
        <v>1</v>
      </c>
      <c r="BL845">
        <v>59.42</v>
      </c>
      <c r="BM845">
        <v>8.91</v>
      </c>
      <c r="BN845">
        <v>68.33</v>
      </c>
      <c r="BO845">
        <v>68.33</v>
      </c>
      <c r="BQ845" t="s">
        <v>179</v>
      </c>
      <c r="BR845" t="s">
        <v>82</v>
      </c>
      <c r="BS845" s="3">
        <v>45999</v>
      </c>
      <c r="BT845" s="4">
        <v>0.43194444444444446</v>
      </c>
      <c r="BU845" t="s">
        <v>180</v>
      </c>
      <c r="BV845" t="s">
        <v>84</v>
      </c>
      <c r="BY845">
        <v>4500</v>
      </c>
      <c r="CA845" t="s">
        <v>182</v>
      </c>
      <c r="CC845" t="s">
        <v>177</v>
      </c>
      <c r="CD845">
        <v>2094</v>
      </c>
      <c r="CE845" t="s">
        <v>93</v>
      </c>
      <c r="CF845" s="3">
        <v>45999</v>
      </c>
      <c r="CI845">
        <v>1</v>
      </c>
      <c r="CJ845">
        <v>1</v>
      </c>
      <c r="CK845">
        <v>22</v>
      </c>
      <c r="CL845" t="s">
        <v>87</v>
      </c>
    </row>
    <row r="846" spans="1:90" x14ac:dyDescent="0.3">
      <c r="A846" t="s">
        <v>72</v>
      </c>
      <c r="B846" t="s">
        <v>73</v>
      </c>
      <c r="C846" t="s">
        <v>74</v>
      </c>
      <c r="E846" t="str">
        <f>"080069705048"</f>
        <v>080069705048</v>
      </c>
      <c r="F846" s="3">
        <v>45996</v>
      </c>
      <c r="G846">
        <v>202609</v>
      </c>
      <c r="H846" t="s">
        <v>75</v>
      </c>
      <c r="I846" t="s">
        <v>76</v>
      </c>
      <c r="J846" t="s">
        <v>77</v>
      </c>
      <c r="K846" t="s">
        <v>78</v>
      </c>
      <c r="L846" t="s">
        <v>141</v>
      </c>
      <c r="M846" t="s">
        <v>142</v>
      </c>
      <c r="N846" t="s">
        <v>738</v>
      </c>
      <c r="O846" t="s">
        <v>89</v>
      </c>
      <c r="P846" t="str">
        <f>"4170072151                    "</f>
        <v xml:space="preserve">4170072151                    </v>
      </c>
      <c r="Q846">
        <v>0</v>
      </c>
      <c r="R846">
        <v>0</v>
      </c>
      <c r="S846">
        <v>0</v>
      </c>
      <c r="T846">
        <v>0</v>
      </c>
      <c r="U846">
        <v>0</v>
      </c>
      <c r="V846">
        <v>0</v>
      </c>
      <c r="W846">
        <v>0</v>
      </c>
      <c r="X846">
        <v>0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>
        <v>0</v>
      </c>
      <c r="AG846">
        <v>0</v>
      </c>
      <c r="AH846">
        <v>0</v>
      </c>
      <c r="AI846">
        <v>0</v>
      </c>
      <c r="AJ846">
        <v>0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25.52</v>
      </c>
      <c r="AR846">
        <v>0</v>
      </c>
      <c r="AS846">
        <v>0</v>
      </c>
      <c r="AT846">
        <v>0</v>
      </c>
      <c r="AU846">
        <v>0</v>
      </c>
      <c r="AV846">
        <v>0</v>
      </c>
      <c r="AW846">
        <v>0</v>
      </c>
      <c r="AX846">
        <v>0</v>
      </c>
      <c r="AY846">
        <v>0</v>
      </c>
      <c r="AZ846">
        <v>0</v>
      </c>
      <c r="BA846">
        <v>0</v>
      </c>
      <c r="BB846">
        <v>0</v>
      </c>
      <c r="BC846">
        <v>0</v>
      </c>
      <c r="BD846">
        <v>0</v>
      </c>
      <c r="BE846">
        <v>0</v>
      </c>
      <c r="BF846">
        <v>0</v>
      </c>
      <c r="BG846">
        <v>0</v>
      </c>
      <c r="BH846">
        <v>1</v>
      </c>
      <c r="BI846">
        <v>1</v>
      </c>
      <c r="BJ846">
        <v>1.1000000000000001</v>
      </c>
      <c r="BK846">
        <v>1.5</v>
      </c>
      <c r="BL846">
        <v>76.06</v>
      </c>
      <c r="BM846">
        <v>11.41</v>
      </c>
      <c r="BN846">
        <v>87.47</v>
      </c>
      <c r="BO846">
        <v>87.47</v>
      </c>
      <c r="BQ846" t="s">
        <v>739</v>
      </c>
      <c r="BR846" t="s">
        <v>82</v>
      </c>
      <c r="BS846" s="3">
        <v>45999</v>
      </c>
      <c r="BT846" s="4">
        <v>0.38124999999999998</v>
      </c>
      <c r="BU846" t="s">
        <v>968</v>
      </c>
      <c r="BV846" t="s">
        <v>84</v>
      </c>
      <c r="BY846">
        <v>5472</v>
      </c>
      <c r="CA846" t="s">
        <v>277</v>
      </c>
      <c r="CC846" t="s">
        <v>142</v>
      </c>
      <c r="CD846">
        <v>6001</v>
      </c>
      <c r="CE846" t="s">
        <v>93</v>
      </c>
      <c r="CF846" s="3">
        <v>45999</v>
      </c>
      <c r="CI846">
        <v>1</v>
      </c>
      <c r="CJ846">
        <v>1</v>
      </c>
      <c r="CK846">
        <v>21</v>
      </c>
      <c r="CL846" t="s">
        <v>87</v>
      </c>
    </row>
    <row r="847" spans="1:90" x14ac:dyDescent="0.3">
      <c r="A847" t="s">
        <v>72</v>
      </c>
      <c r="B847" t="s">
        <v>73</v>
      </c>
      <c r="C847" t="s">
        <v>74</v>
      </c>
      <c r="E847" t="str">
        <f>"080069705123"</f>
        <v>080069705123</v>
      </c>
      <c r="F847" s="3">
        <v>45996</v>
      </c>
      <c r="G847">
        <v>202609</v>
      </c>
      <c r="H847" t="s">
        <v>75</v>
      </c>
      <c r="I847" t="s">
        <v>76</v>
      </c>
      <c r="J847" t="s">
        <v>77</v>
      </c>
      <c r="K847" t="s">
        <v>78</v>
      </c>
      <c r="L847" t="s">
        <v>351</v>
      </c>
      <c r="M847" t="s">
        <v>352</v>
      </c>
      <c r="N847" t="s">
        <v>1266</v>
      </c>
      <c r="O847" t="s">
        <v>340</v>
      </c>
      <c r="P847" t="str">
        <f>"4170072010                    "</f>
        <v xml:space="preserve">4170072010                    </v>
      </c>
      <c r="Q847">
        <v>0</v>
      </c>
      <c r="R847">
        <v>0</v>
      </c>
      <c r="S847">
        <v>0</v>
      </c>
      <c r="T847">
        <v>0</v>
      </c>
      <c r="U847">
        <v>0</v>
      </c>
      <c r="V847">
        <v>0</v>
      </c>
      <c r="W847">
        <v>0</v>
      </c>
      <c r="X847">
        <v>0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>
        <v>0</v>
      </c>
      <c r="AG847">
        <v>0</v>
      </c>
      <c r="AH847">
        <v>0</v>
      </c>
      <c r="AI847">
        <v>0</v>
      </c>
      <c r="AJ847">
        <v>0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175.93</v>
      </c>
      <c r="AR847">
        <v>0</v>
      </c>
      <c r="AS847">
        <v>0</v>
      </c>
      <c r="AT847">
        <v>0</v>
      </c>
      <c r="AU847">
        <v>0</v>
      </c>
      <c r="AV847">
        <v>0</v>
      </c>
      <c r="AW847">
        <v>0</v>
      </c>
      <c r="AX847">
        <v>0</v>
      </c>
      <c r="AY847">
        <v>0</v>
      </c>
      <c r="AZ847">
        <v>0</v>
      </c>
      <c r="BA847">
        <v>0</v>
      </c>
      <c r="BB847">
        <v>0</v>
      </c>
      <c r="BC847">
        <v>0</v>
      </c>
      <c r="BD847">
        <v>0</v>
      </c>
      <c r="BE847">
        <v>0</v>
      </c>
      <c r="BF847">
        <v>0</v>
      </c>
      <c r="BG847">
        <v>0</v>
      </c>
      <c r="BH847">
        <v>2</v>
      </c>
      <c r="BI847">
        <v>5</v>
      </c>
      <c r="BJ847">
        <v>8.1</v>
      </c>
      <c r="BK847">
        <v>8.5</v>
      </c>
      <c r="BL847">
        <v>524.29999999999995</v>
      </c>
      <c r="BM847">
        <v>78.650000000000006</v>
      </c>
      <c r="BN847">
        <v>602.95000000000005</v>
      </c>
      <c r="BO847">
        <v>602.95000000000005</v>
      </c>
      <c r="BQ847" t="s">
        <v>1267</v>
      </c>
      <c r="BR847" t="s">
        <v>82</v>
      </c>
      <c r="BS847" s="3">
        <v>45999</v>
      </c>
      <c r="BT847" s="4">
        <v>0.6333333333333333</v>
      </c>
      <c r="BU847" t="s">
        <v>1626</v>
      </c>
      <c r="BV847" t="s">
        <v>84</v>
      </c>
      <c r="BY847">
        <v>40392</v>
      </c>
      <c r="CA847" t="s">
        <v>356</v>
      </c>
      <c r="CC847" t="s">
        <v>352</v>
      </c>
      <c r="CD847">
        <v>1438</v>
      </c>
      <c r="CE847" t="s">
        <v>134</v>
      </c>
      <c r="CF847" s="3">
        <v>45999</v>
      </c>
      <c r="CI847">
        <v>1</v>
      </c>
      <c r="CJ847">
        <v>1</v>
      </c>
      <c r="CK847">
        <v>34</v>
      </c>
      <c r="CL847" t="s">
        <v>87</v>
      </c>
    </row>
    <row r="848" spans="1:90" x14ac:dyDescent="0.3">
      <c r="A848" t="s">
        <v>72</v>
      </c>
      <c r="B848" t="s">
        <v>73</v>
      </c>
      <c r="C848" t="s">
        <v>74</v>
      </c>
      <c r="E848" t="str">
        <f>"080069705128"</f>
        <v>080069705128</v>
      </c>
      <c r="F848" s="3">
        <v>45996</v>
      </c>
      <c r="G848">
        <v>202609</v>
      </c>
      <c r="H848" t="s">
        <v>75</v>
      </c>
      <c r="I848" t="s">
        <v>76</v>
      </c>
      <c r="J848" t="s">
        <v>77</v>
      </c>
      <c r="K848" t="s">
        <v>78</v>
      </c>
      <c r="L848" t="s">
        <v>176</v>
      </c>
      <c r="M848" t="s">
        <v>177</v>
      </c>
      <c r="N848" t="s">
        <v>670</v>
      </c>
      <c r="O848" t="s">
        <v>89</v>
      </c>
      <c r="P848" t="str">
        <f>"4170072179                    "</f>
        <v xml:space="preserve">4170072179                    </v>
      </c>
      <c r="Q848">
        <v>0</v>
      </c>
      <c r="R848">
        <v>0</v>
      </c>
      <c r="S848">
        <v>0</v>
      </c>
      <c r="T848">
        <v>0</v>
      </c>
      <c r="U848">
        <v>0</v>
      </c>
      <c r="V848">
        <v>0</v>
      </c>
      <c r="W848">
        <v>0</v>
      </c>
      <c r="X848">
        <v>0</v>
      </c>
      <c r="Y848">
        <v>0</v>
      </c>
      <c r="Z848">
        <v>0</v>
      </c>
      <c r="AA848">
        <v>0</v>
      </c>
      <c r="AB848">
        <v>0</v>
      </c>
      <c r="AC848">
        <v>0</v>
      </c>
      <c r="AD848">
        <v>0</v>
      </c>
      <c r="AE848">
        <v>0</v>
      </c>
      <c r="AF848">
        <v>0</v>
      </c>
      <c r="AG848">
        <v>0</v>
      </c>
      <c r="AH848">
        <v>0</v>
      </c>
      <c r="AI848">
        <v>0</v>
      </c>
      <c r="AJ848">
        <v>0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19.940000000000001</v>
      </c>
      <c r="AR848">
        <v>0</v>
      </c>
      <c r="AS848">
        <v>0</v>
      </c>
      <c r="AT848">
        <v>0</v>
      </c>
      <c r="AU848">
        <v>0</v>
      </c>
      <c r="AV848">
        <v>0</v>
      </c>
      <c r="AW848">
        <v>0</v>
      </c>
      <c r="AX848">
        <v>0</v>
      </c>
      <c r="AY848">
        <v>0</v>
      </c>
      <c r="AZ848">
        <v>0</v>
      </c>
      <c r="BA848">
        <v>0</v>
      </c>
      <c r="BB848">
        <v>0</v>
      </c>
      <c r="BC848">
        <v>0</v>
      </c>
      <c r="BD848">
        <v>0</v>
      </c>
      <c r="BE848">
        <v>0</v>
      </c>
      <c r="BF848">
        <v>0</v>
      </c>
      <c r="BG848">
        <v>0</v>
      </c>
      <c r="BH848">
        <v>1</v>
      </c>
      <c r="BI848">
        <v>1</v>
      </c>
      <c r="BJ848">
        <v>0.2</v>
      </c>
      <c r="BK848">
        <v>1</v>
      </c>
      <c r="BL848">
        <v>59.42</v>
      </c>
      <c r="BM848">
        <v>8.91</v>
      </c>
      <c r="BN848">
        <v>68.33</v>
      </c>
      <c r="BO848">
        <v>68.33</v>
      </c>
      <c r="BQ848" t="s">
        <v>1627</v>
      </c>
      <c r="BR848" t="s">
        <v>82</v>
      </c>
      <c r="BS848" s="3">
        <v>45999</v>
      </c>
      <c r="BT848" s="4">
        <v>0.34236111111111112</v>
      </c>
      <c r="BU848" t="s">
        <v>1628</v>
      </c>
      <c r="BV848" t="s">
        <v>84</v>
      </c>
      <c r="BY848">
        <v>1200</v>
      </c>
      <c r="CA848" t="s">
        <v>409</v>
      </c>
      <c r="CC848" t="s">
        <v>177</v>
      </c>
      <c r="CD848">
        <v>2013</v>
      </c>
      <c r="CE848" t="s">
        <v>134</v>
      </c>
      <c r="CF848" s="3">
        <v>46000</v>
      </c>
      <c r="CI848">
        <v>1</v>
      </c>
      <c r="CJ848">
        <v>1</v>
      </c>
      <c r="CK848">
        <v>22</v>
      </c>
      <c r="CL848" t="s">
        <v>87</v>
      </c>
    </row>
    <row r="849" spans="1:90" x14ac:dyDescent="0.3">
      <c r="A849" t="s">
        <v>72</v>
      </c>
      <c r="B849" t="s">
        <v>73</v>
      </c>
      <c r="C849" t="s">
        <v>74</v>
      </c>
      <c r="E849" t="str">
        <f>"080069705163"</f>
        <v>080069705163</v>
      </c>
      <c r="F849" s="3">
        <v>45996</v>
      </c>
      <c r="G849">
        <v>202609</v>
      </c>
      <c r="H849" t="s">
        <v>75</v>
      </c>
      <c r="I849" t="s">
        <v>76</v>
      </c>
      <c r="J849" t="s">
        <v>77</v>
      </c>
      <c r="K849" t="s">
        <v>78</v>
      </c>
      <c r="L849" t="s">
        <v>156</v>
      </c>
      <c r="M849" t="s">
        <v>157</v>
      </c>
      <c r="N849" t="s">
        <v>960</v>
      </c>
      <c r="O849" t="s">
        <v>89</v>
      </c>
      <c r="P849" t="str">
        <f>"4170072228                    "</f>
        <v xml:space="preserve">4170072228                    </v>
      </c>
      <c r="Q849">
        <v>0</v>
      </c>
      <c r="R849">
        <v>0</v>
      </c>
      <c r="S849">
        <v>0</v>
      </c>
      <c r="T849">
        <v>0</v>
      </c>
      <c r="U849">
        <v>0</v>
      </c>
      <c r="V849">
        <v>0</v>
      </c>
      <c r="W849">
        <v>0</v>
      </c>
      <c r="X849">
        <v>0</v>
      </c>
      <c r="Y849">
        <v>0</v>
      </c>
      <c r="Z849">
        <v>0</v>
      </c>
      <c r="AA849">
        <v>0</v>
      </c>
      <c r="AB849">
        <v>0</v>
      </c>
      <c r="AC849">
        <v>0</v>
      </c>
      <c r="AD849">
        <v>0</v>
      </c>
      <c r="AE849">
        <v>0</v>
      </c>
      <c r="AF849">
        <v>0</v>
      </c>
      <c r="AG849">
        <v>0</v>
      </c>
      <c r="AH849">
        <v>0</v>
      </c>
      <c r="AI849">
        <v>0</v>
      </c>
      <c r="AJ849">
        <v>0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25.52</v>
      </c>
      <c r="AR849">
        <v>0</v>
      </c>
      <c r="AS849">
        <v>0</v>
      </c>
      <c r="AT849">
        <v>0</v>
      </c>
      <c r="AU849">
        <v>0</v>
      </c>
      <c r="AV849">
        <v>0</v>
      </c>
      <c r="AW849">
        <v>0</v>
      </c>
      <c r="AX849">
        <v>0</v>
      </c>
      <c r="AY849">
        <v>0</v>
      </c>
      <c r="AZ849">
        <v>0</v>
      </c>
      <c r="BA849">
        <v>0</v>
      </c>
      <c r="BB849">
        <v>0</v>
      </c>
      <c r="BC849">
        <v>0</v>
      </c>
      <c r="BD849">
        <v>0</v>
      </c>
      <c r="BE849">
        <v>0</v>
      </c>
      <c r="BF849">
        <v>0</v>
      </c>
      <c r="BG849">
        <v>0</v>
      </c>
      <c r="BH849">
        <v>1</v>
      </c>
      <c r="BI849">
        <v>1</v>
      </c>
      <c r="BJ849">
        <v>0.2</v>
      </c>
      <c r="BK849">
        <v>1</v>
      </c>
      <c r="BL849">
        <v>76.06</v>
      </c>
      <c r="BM849">
        <v>11.41</v>
      </c>
      <c r="BN849">
        <v>87.47</v>
      </c>
      <c r="BO849">
        <v>87.47</v>
      </c>
      <c r="BQ849" t="s">
        <v>961</v>
      </c>
      <c r="BR849" t="s">
        <v>82</v>
      </c>
      <c r="BS849" s="3">
        <v>45999</v>
      </c>
      <c r="BT849" s="4">
        <v>0.38124999999999998</v>
      </c>
      <c r="BU849" t="s">
        <v>1629</v>
      </c>
      <c r="BV849" t="s">
        <v>84</v>
      </c>
      <c r="BY849">
        <v>1200</v>
      </c>
      <c r="CA849" t="s">
        <v>346</v>
      </c>
      <c r="CC849" t="s">
        <v>157</v>
      </c>
      <c r="CD849">
        <v>7530</v>
      </c>
      <c r="CE849" t="s">
        <v>134</v>
      </c>
      <c r="CF849" s="3">
        <v>46000</v>
      </c>
      <c r="CI849">
        <v>1</v>
      </c>
      <c r="CJ849">
        <v>1</v>
      </c>
      <c r="CK849">
        <v>21</v>
      </c>
      <c r="CL849" t="s">
        <v>87</v>
      </c>
    </row>
    <row r="850" spans="1:90" x14ac:dyDescent="0.3">
      <c r="A850" t="s">
        <v>72</v>
      </c>
      <c r="B850" t="s">
        <v>73</v>
      </c>
      <c r="C850" t="s">
        <v>74</v>
      </c>
      <c r="E850" t="str">
        <f>"080069705215"</f>
        <v>080069705215</v>
      </c>
      <c r="F850" s="3">
        <v>45996</v>
      </c>
      <c r="G850">
        <v>202609</v>
      </c>
      <c r="H850" t="s">
        <v>75</v>
      </c>
      <c r="I850" t="s">
        <v>76</v>
      </c>
      <c r="J850" t="s">
        <v>77</v>
      </c>
      <c r="K850" t="s">
        <v>78</v>
      </c>
      <c r="L850" t="s">
        <v>141</v>
      </c>
      <c r="M850" t="s">
        <v>142</v>
      </c>
      <c r="N850" t="s">
        <v>1630</v>
      </c>
      <c r="O850" t="s">
        <v>89</v>
      </c>
      <c r="P850" t="str">
        <f>"4170072265                    "</f>
        <v xml:space="preserve">4170072265                    </v>
      </c>
      <c r="Q850">
        <v>0</v>
      </c>
      <c r="R850">
        <v>0</v>
      </c>
      <c r="S850">
        <v>0</v>
      </c>
      <c r="T850">
        <v>0</v>
      </c>
      <c r="U850">
        <v>0</v>
      </c>
      <c r="V850">
        <v>0</v>
      </c>
      <c r="W850">
        <v>0</v>
      </c>
      <c r="X850">
        <v>0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0</v>
      </c>
      <c r="AE850">
        <v>0</v>
      </c>
      <c r="AF850">
        <v>0</v>
      </c>
      <c r="AG850">
        <v>0</v>
      </c>
      <c r="AH850">
        <v>0</v>
      </c>
      <c r="AI850">
        <v>0</v>
      </c>
      <c r="AJ850">
        <v>0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25.52</v>
      </c>
      <c r="AR850">
        <v>0</v>
      </c>
      <c r="AS850">
        <v>0</v>
      </c>
      <c r="AT850">
        <v>0</v>
      </c>
      <c r="AU850">
        <v>0</v>
      </c>
      <c r="AV850">
        <v>0</v>
      </c>
      <c r="AW850">
        <v>0</v>
      </c>
      <c r="AX850">
        <v>0</v>
      </c>
      <c r="AY850">
        <v>0</v>
      </c>
      <c r="AZ850">
        <v>0</v>
      </c>
      <c r="BA850">
        <v>0</v>
      </c>
      <c r="BB850">
        <v>0</v>
      </c>
      <c r="BC850">
        <v>0</v>
      </c>
      <c r="BD850">
        <v>0</v>
      </c>
      <c r="BE850">
        <v>0</v>
      </c>
      <c r="BF850">
        <v>0</v>
      </c>
      <c r="BG850">
        <v>0</v>
      </c>
      <c r="BH850">
        <v>1</v>
      </c>
      <c r="BI850">
        <v>1</v>
      </c>
      <c r="BJ850">
        <v>0.2</v>
      </c>
      <c r="BK850">
        <v>1</v>
      </c>
      <c r="BL850">
        <v>76.06</v>
      </c>
      <c r="BM850">
        <v>11.41</v>
      </c>
      <c r="BN850">
        <v>87.47</v>
      </c>
      <c r="BO850">
        <v>87.47</v>
      </c>
      <c r="BQ850" t="s">
        <v>1631</v>
      </c>
      <c r="BR850" t="s">
        <v>82</v>
      </c>
      <c r="BS850" s="3">
        <v>45999</v>
      </c>
      <c r="BT850" s="4">
        <v>0.41944444444444445</v>
      </c>
      <c r="BU850" t="s">
        <v>1632</v>
      </c>
      <c r="BV850" t="s">
        <v>84</v>
      </c>
      <c r="BY850">
        <v>1200</v>
      </c>
      <c r="CA850" t="s">
        <v>1633</v>
      </c>
      <c r="CC850" t="s">
        <v>142</v>
      </c>
      <c r="CD850">
        <v>6100</v>
      </c>
      <c r="CE850" t="s">
        <v>134</v>
      </c>
      <c r="CF850" s="3">
        <v>46000</v>
      </c>
      <c r="CI850">
        <v>1</v>
      </c>
      <c r="CJ850">
        <v>1</v>
      </c>
      <c r="CK850">
        <v>21</v>
      </c>
      <c r="CL850" t="s">
        <v>87</v>
      </c>
    </row>
    <row r="851" spans="1:90" x14ac:dyDescent="0.3">
      <c r="A851" t="s">
        <v>72</v>
      </c>
      <c r="B851" t="s">
        <v>73</v>
      </c>
      <c r="C851" t="s">
        <v>74</v>
      </c>
      <c r="E851" t="str">
        <f>"080069705254"</f>
        <v>080069705254</v>
      </c>
      <c r="F851" s="3">
        <v>45996</v>
      </c>
      <c r="G851">
        <v>202609</v>
      </c>
      <c r="H851" t="s">
        <v>75</v>
      </c>
      <c r="I851" t="s">
        <v>76</v>
      </c>
      <c r="J851" t="s">
        <v>77</v>
      </c>
      <c r="K851" t="s">
        <v>78</v>
      </c>
      <c r="L851" t="s">
        <v>156</v>
      </c>
      <c r="M851" t="s">
        <v>157</v>
      </c>
      <c r="N851" t="s">
        <v>261</v>
      </c>
      <c r="O851" t="s">
        <v>89</v>
      </c>
      <c r="P851" t="str">
        <f>"4170072278                    "</f>
        <v xml:space="preserve">4170072278                    </v>
      </c>
      <c r="Q851">
        <v>0</v>
      </c>
      <c r="R851">
        <v>0</v>
      </c>
      <c r="S851">
        <v>0</v>
      </c>
      <c r="T851">
        <v>0</v>
      </c>
      <c r="U851">
        <v>0</v>
      </c>
      <c r="V851">
        <v>0</v>
      </c>
      <c r="W851">
        <v>0</v>
      </c>
      <c r="X851">
        <v>0</v>
      </c>
      <c r="Y851">
        <v>0</v>
      </c>
      <c r="Z851">
        <v>0</v>
      </c>
      <c r="AA851">
        <v>0</v>
      </c>
      <c r="AB851">
        <v>0</v>
      </c>
      <c r="AC851">
        <v>0</v>
      </c>
      <c r="AD851">
        <v>0</v>
      </c>
      <c r="AE851">
        <v>0</v>
      </c>
      <c r="AF851">
        <v>0</v>
      </c>
      <c r="AG851">
        <v>0</v>
      </c>
      <c r="AH851">
        <v>0</v>
      </c>
      <c r="AI851">
        <v>0</v>
      </c>
      <c r="AJ851">
        <v>0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0</v>
      </c>
      <c r="AQ851">
        <v>25.52</v>
      </c>
      <c r="AR851">
        <v>0</v>
      </c>
      <c r="AS851">
        <v>0</v>
      </c>
      <c r="AT851">
        <v>0</v>
      </c>
      <c r="AU851">
        <v>0</v>
      </c>
      <c r="AV851">
        <v>0</v>
      </c>
      <c r="AW851">
        <v>0</v>
      </c>
      <c r="AX851">
        <v>0</v>
      </c>
      <c r="AY851">
        <v>0</v>
      </c>
      <c r="AZ851">
        <v>0</v>
      </c>
      <c r="BA851">
        <v>0</v>
      </c>
      <c r="BB851">
        <v>0</v>
      </c>
      <c r="BC851">
        <v>0</v>
      </c>
      <c r="BD851">
        <v>0</v>
      </c>
      <c r="BE851">
        <v>0</v>
      </c>
      <c r="BF851">
        <v>0</v>
      </c>
      <c r="BG851">
        <v>0</v>
      </c>
      <c r="BH851">
        <v>1</v>
      </c>
      <c r="BI851">
        <v>1</v>
      </c>
      <c r="BJ851">
        <v>0.2</v>
      </c>
      <c r="BK851">
        <v>1</v>
      </c>
      <c r="BL851">
        <v>76.06</v>
      </c>
      <c r="BM851">
        <v>11.41</v>
      </c>
      <c r="BN851">
        <v>87.47</v>
      </c>
      <c r="BO851">
        <v>87.47</v>
      </c>
      <c r="BQ851" t="s">
        <v>262</v>
      </c>
      <c r="BR851" t="s">
        <v>82</v>
      </c>
      <c r="BS851" s="3">
        <v>45999</v>
      </c>
      <c r="BT851" s="4">
        <v>0.42986111111111114</v>
      </c>
      <c r="BU851" t="s">
        <v>832</v>
      </c>
      <c r="BV851" t="s">
        <v>84</v>
      </c>
      <c r="BY851">
        <v>1200</v>
      </c>
      <c r="CA851" t="s">
        <v>833</v>
      </c>
      <c r="CC851" t="s">
        <v>157</v>
      </c>
      <c r="CD851">
        <v>7441</v>
      </c>
      <c r="CE851" t="s">
        <v>134</v>
      </c>
      <c r="CF851" s="3">
        <v>46000</v>
      </c>
      <c r="CI851">
        <v>1</v>
      </c>
      <c r="CJ851">
        <v>1</v>
      </c>
      <c r="CK851">
        <v>21</v>
      </c>
      <c r="CL851" t="s">
        <v>87</v>
      </c>
    </row>
    <row r="852" spans="1:90" x14ac:dyDescent="0.3">
      <c r="A852" t="s">
        <v>72</v>
      </c>
      <c r="B852" t="s">
        <v>73</v>
      </c>
      <c r="C852" t="s">
        <v>74</v>
      </c>
      <c r="E852" t="str">
        <f>"080069705308"</f>
        <v>080069705308</v>
      </c>
      <c r="F852" s="3">
        <v>45996</v>
      </c>
      <c r="G852">
        <v>202609</v>
      </c>
      <c r="H852" t="s">
        <v>75</v>
      </c>
      <c r="I852" t="s">
        <v>76</v>
      </c>
      <c r="J852" t="s">
        <v>77</v>
      </c>
      <c r="K852" t="s">
        <v>78</v>
      </c>
      <c r="L852" t="s">
        <v>302</v>
      </c>
      <c r="M852" t="s">
        <v>303</v>
      </c>
      <c r="N852" t="s">
        <v>1135</v>
      </c>
      <c r="O852" t="s">
        <v>89</v>
      </c>
      <c r="P852" t="str">
        <f>"4170072046                    "</f>
        <v xml:space="preserve">4170072046                    </v>
      </c>
      <c r="Q852">
        <v>0</v>
      </c>
      <c r="R852">
        <v>0</v>
      </c>
      <c r="S852">
        <v>0</v>
      </c>
      <c r="T852">
        <v>0</v>
      </c>
      <c r="U852">
        <v>0</v>
      </c>
      <c r="V852">
        <v>0</v>
      </c>
      <c r="W852">
        <v>0</v>
      </c>
      <c r="X852">
        <v>0</v>
      </c>
      <c r="Y852">
        <v>0</v>
      </c>
      <c r="Z852">
        <v>0</v>
      </c>
      <c r="AA852">
        <v>0</v>
      </c>
      <c r="AB852">
        <v>0</v>
      </c>
      <c r="AC852">
        <v>0</v>
      </c>
      <c r="AD852">
        <v>0</v>
      </c>
      <c r="AE852">
        <v>0</v>
      </c>
      <c r="AF852">
        <v>0</v>
      </c>
      <c r="AG852">
        <v>0</v>
      </c>
      <c r="AH852">
        <v>0</v>
      </c>
      <c r="AI852">
        <v>0</v>
      </c>
      <c r="AJ852">
        <v>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25.52</v>
      </c>
      <c r="AR852">
        <v>0</v>
      </c>
      <c r="AS852">
        <v>0</v>
      </c>
      <c r="AT852">
        <v>0</v>
      </c>
      <c r="AU852">
        <v>0</v>
      </c>
      <c r="AV852">
        <v>0</v>
      </c>
      <c r="AW852">
        <v>0</v>
      </c>
      <c r="AX852">
        <v>0</v>
      </c>
      <c r="AY852">
        <v>0</v>
      </c>
      <c r="AZ852">
        <v>0</v>
      </c>
      <c r="BA852">
        <v>0</v>
      </c>
      <c r="BB852">
        <v>0</v>
      </c>
      <c r="BC852">
        <v>0</v>
      </c>
      <c r="BD852">
        <v>0</v>
      </c>
      <c r="BE852">
        <v>0</v>
      </c>
      <c r="BF852">
        <v>0</v>
      </c>
      <c r="BG852">
        <v>0</v>
      </c>
      <c r="BH852">
        <v>1</v>
      </c>
      <c r="BI852">
        <v>1</v>
      </c>
      <c r="BJ852">
        <v>0.2</v>
      </c>
      <c r="BK852">
        <v>1</v>
      </c>
      <c r="BL852">
        <v>76.06</v>
      </c>
      <c r="BM852">
        <v>11.41</v>
      </c>
      <c r="BN852">
        <v>87.47</v>
      </c>
      <c r="BO852">
        <v>87.47</v>
      </c>
      <c r="BQ852" t="s">
        <v>1136</v>
      </c>
      <c r="BR852" t="s">
        <v>82</v>
      </c>
      <c r="BS852" s="3">
        <v>45999</v>
      </c>
      <c r="BT852" s="4">
        <v>0.40625</v>
      </c>
      <c r="BU852" t="s">
        <v>1634</v>
      </c>
      <c r="BV852" t="s">
        <v>84</v>
      </c>
      <c r="BY852">
        <v>1200</v>
      </c>
      <c r="CA852">
        <v>9712245188082</v>
      </c>
      <c r="CC852" t="s">
        <v>303</v>
      </c>
      <c r="CD852" s="5" t="s">
        <v>433</v>
      </c>
      <c r="CE852" t="s">
        <v>134</v>
      </c>
      <c r="CF852" s="3">
        <v>45999</v>
      </c>
      <c r="CI852">
        <v>1</v>
      </c>
      <c r="CJ852">
        <v>1</v>
      </c>
      <c r="CK852">
        <v>21</v>
      </c>
      <c r="CL852" t="s">
        <v>87</v>
      </c>
    </row>
    <row r="853" spans="1:90" x14ac:dyDescent="0.3">
      <c r="A853" t="s">
        <v>72</v>
      </c>
      <c r="B853" t="s">
        <v>73</v>
      </c>
      <c r="C853" t="s">
        <v>74</v>
      </c>
      <c r="E853" t="str">
        <f>"080069705279"</f>
        <v>080069705279</v>
      </c>
      <c r="F853" s="3">
        <v>45996</v>
      </c>
      <c r="G853">
        <v>202609</v>
      </c>
      <c r="H853" t="s">
        <v>75</v>
      </c>
      <c r="I853" t="s">
        <v>76</v>
      </c>
      <c r="J853" t="s">
        <v>77</v>
      </c>
      <c r="K853" t="s">
        <v>78</v>
      </c>
      <c r="L853" t="s">
        <v>515</v>
      </c>
      <c r="M853" t="s">
        <v>516</v>
      </c>
      <c r="N853" t="s">
        <v>517</v>
      </c>
      <c r="O853" t="s">
        <v>89</v>
      </c>
      <c r="P853" t="str">
        <f>"4170072268                    "</f>
        <v xml:space="preserve">4170072268                    </v>
      </c>
      <c r="Q853">
        <v>0</v>
      </c>
      <c r="R853">
        <v>0</v>
      </c>
      <c r="S853">
        <v>0</v>
      </c>
      <c r="T853">
        <v>0</v>
      </c>
      <c r="U853">
        <v>0</v>
      </c>
      <c r="V853">
        <v>0</v>
      </c>
      <c r="W853">
        <v>0</v>
      </c>
      <c r="X853">
        <v>0</v>
      </c>
      <c r="Y853">
        <v>0</v>
      </c>
      <c r="Z853">
        <v>0</v>
      </c>
      <c r="AA853">
        <v>0</v>
      </c>
      <c r="AB853">
        <v>0</v>
      </c>
      <c r="AC853">
        <v>0</v>
      </c>
      <c r="AD853">
        <v>0</v>
      </c>
      <c r="AE853">
        <v>0</v>
      </c>
      <c r="AF853">
        <v>0</v>
      </c>
      <c r="AG853">
        <v>0</v>
      </c>
      <c r="AH853">
        <v>0</v>
      </c>
      <c r="AI853">
        <v>0</v>
      </c>
      <c r="AJ853">
        <v>0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49.45</v>
      </c>
      <c r="AR853">
        <v>0</v>
      </c>
      <c r="AS853">
        <v>0</v>
      </c>
      <c r="AT853">
        <v>0</v>
      </c>
      <c r="AU853">
        <v>0</v>
      </c>
      <c r="AV853">
        <v>0</v>
      </c>
      <c r="AW853">
        <v>0</v>
      </c>
      <c r="AX853">
        <v>0</v>
      </c>
      <c r="AY853">
        <v>0</v>
      </c>
      <c r="AZ853">
        <v>0</v>
      </c>
      <c r="BA853">
        <v>0</v>
      </c>
      <c r="BB853">
        <v>0</v>
      </c>
      <c r="BC853">
        <v>0</v>
      </c>
      <c r="BD853">
        <v>0</v>
      </c>
      <c r="BE853">
        <v>0</v>
      </c>
      <c r="BF853">
        <v>0</v>
      </c>
      <c r="BG853">
        <v>0</v>
      </c>
      <c r="BH853">
        <v>1</v>
      </c>
      <c r="BI853">
        <v>1</v>
      </c>
      <c r="BJ853">
        <v>0.2</v>
      </c>
      <c r="BK853">
        <v>1</v>
      </c>
      <c r="BL853">
        <v>147.38</v>
      </c>
      <c r="BM853">
        <v>22.11</v>
      </c>
      <c r="BN853">
        <v>169.49</v>
      </c>
      <c r="BO853">
        <v>169.49</v>
      </c>
      <c r="BQ853" t="s">
        <v>518</v>
      </c>
      <c r="BR853" t="s">
        <v>82</v>
      </c>
      <c r="BS853" s="3">
        <v>46002</v>
      </c>
      <c r="BT853" s="4">
        <v>0.66180555555555554</v>
      </c>
      <c r="BU853" t="s">
        <v>1635</v>
      </c>
      <c r="BV853" t="s">
        <v>87</v>
      </c>
      <c r="BW853" t="s">
        <v>622</v>
      </c>
      <c r="BX853" t="s">
        <v>270</v>
      </c>
      <c r="BY853">
        <v>1200</v>
      </c>
      <c r="CC853" t="s">
        <v>516</v>
      </c>
      <c r="CD853">
        <v>6300</v>
      </c>
      <c r="CE853" t="s">
        <v>134</v>
      </c>
      <c r="CI853">
        <v>2</v>
      </c>
      <c r="CJ853">
        <v>4</v>
      </c>
      <c r="CK853">
        <v>23</v>
      </c>
      <c r="CL853" t="s">
        <v>87</v>
      </c>
    </row>
    <row r="854" spans="1:90" x14ac:dyDescent="0.3">
      <c r="A854" t="s">
        <v>72</v>
      </c>
      <c r="B854" t="s">
        <v>73</v>
      </c>
      <c r="C854" t="s">
        <v>74</v>
      </c>
      <c r="E854" t="str">
        <f>"080069705336"</f>
        <v>080069705336</v>
      </c>
      <c r="F854" s="3">
        <v>45996</v>
      </c>
      <c r="G854">
        <v>202609</v>
      </c>
      <c r="H854" t="s">
        <v>75</v>
      </c>
      <c r="I854" t="s">
        <v>76</v>
      </c>
      <c r="J854" t="s">
        <v>77</v>
      </c>
      <c r="K854" t="s">
        <v>78</v>
      </c>
      <c r="L854" t="s">
        <v>176</v>
      </c>
      <c r="M854" t="s">
        <v>177</v>
      </c>
      <c r="N854" t="s">
        <v>1636</v>
      </c>
      <c r="O854" t="s">
        <v>89</v>
      </c>
      <c r="P854" t="str">
        <f>"4170072276                    "</f>
        <v xml:space="preserve">4170072276                    </v>
      </c>
      <c r="Q854">
        <v>0</v>
      </c>
      <c r="R854">
        <v>0</v>
      </c>
      <c r="S854">
        <v>0</v>
      </c>
      <c r="T854">
        <v>0</v>
      </c>
      <c r="U854">
        <v>0</v>
      </c>
      <c r="V854">
        <v>0</v>
      </c>
      <c r="W854">
        <v>0</v>
      </c>
      <c r="X854">
        <v>0</v>
      </c>
      <c r="Y854">
        <v>0</v>
      </c>
      <c r="Z854">
        <v>0</v>
      </c>
      <c r="AA854">
        <v>0</v>
      </c>
      <c r="AB854">
        <v>0</v>
      </c>
      <c r="AC854">
        <v>0</v>
      </c>
      <c r="AD854">
        <v>0</v>
      </c>
      <c r="AE854">
        <v>0</v>
      </c>
      <c r="AF854">
        <v>0</v>
      </c>
      <c r="AG854">
        <v>0</v>
      </c>
      <c r="AH854">
        <v>0</v>
      </c>
      <c r="AI854">
        <v>0</v>
      </c>
      <c r="AJ854">
        <v>0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19.940000000000001</v>
      </c>
      <c r="AR854">
        <v>0</v>
      </c>
      <c r="AS854">
        <v>0</v>
      </c>
      <c r="AT854">
        <v>0</v>
      </c>
      <c r="AU854">
        <v>0</v>
      </c>
      <c r="AV854">
        <v>0</v>
      </c>
      <c r="AW854">
        <v>0</v>
      </c>
      <c r="AX854">
        <v>0</v>
      </c>
      <c r="AY854">
        <v>0</v>
      </c>
      <c r="AZ854">
        <v>0</v>
      </c>
      <c r="BA854">
        <v>0</v>
      </c>
      <c r="BB854">
        <v>0</v>
      </c>
      <c r="BC854">
        <v>0</v>
      </c>
      <c r="BD854">
        <v>0</v>
      </c>
      <c r="BE854">
        <v>0</v>
      </c>
      <c r="BF854">
        <v>0</v>
      </c>
      <c r="BG854">
        <v>0</v>
      </c>
      <c r="BH854">
        <v>1</v>
      </c>
      <c r="BI854">
        <v>1</v>
      </c>
      <c r="BJ854">
        <v>0.2</v>
      </c>
      <c r="BK854">
        <v>1</v>
      </c>
      <c r="BL854">
        <v>59.42</v>
      </c>
      <c r="BM854">
        <v>8.91</v>
      </c>
      <c r="BN854">
        <v>68.33</v>
      </c>
      <c r="BO854">
        <v>68.33</v>
      </c>
      <c r="BQ854" t="s">
        <v>1637</v>
      </c>
      <c r="BR854" t="s">
        <v>82</v>
      </c>
      <c r="BS854" s="3">
        <v>45999</v>
      </c>
      <c r="BT854" s="4">
        <v>0.42499999999999999</v>
      </c>
      <c r="BU854" t="s">
        <v>1638</v>
      </c>
      <c r="BV854" t="s">
        <v>84</v>
      </c>
      <c r="BY854">
        <v>1200</v>
      </c>
      <c r="CA854" t="s">
        <v>182</v>
      </c>
      <c r="CC854" t="s">
        <v>177</v>
      </c>
      <c r="CD854">
        <v>2094</v>
      </c>
      <c r="CE854" t="s">
        <v>134</v>
      </c>
      <c r="CF854" s="3">
        <v>45999</v>
      </c>
      <c r="CI854">
        <v>1</v>
      </c>
      <c r="CJ854">
        <v>1</v>
      </c>
      <c r="CK854">
        <v>22</v>
      </c>
      <c r="CL854" t="s">
        <v>87</v>
      </c>
    </row>
    <row r="855" spans="1:90" x14ac:dyDescent="0.3">
      <c r="A855" t="s">
        <v>72</v>
      </c>
      <c r="B855" t="s">
        <v>73</v>
      </c>
      <c r="C855" t="s">
        <v>74</v>
      </c>
      <c r="E855" t="str">
        <f>"080069705585"</f>
        <v>080069705585</v>
      </c>
      <c r="F855" s="3">
        <v>45996</v>
      </c>
      <c r="G855">
        <v>202609</v>
      </c>
      <c r="H855" t="s">
        <v>75</v>
      </c>
      <c r="I855" t="s">
        <v>76</v>
      </c>
      <c r="J855" t="s">
        <v>77</v>
      </c>
      <c r="K855" t="s">
        <v>78</v>
      </c>
      <c r="L855" t="s">
        <v>156</v>
      </c>
      <c r="M855" t="s">
        <v>157</v>
      </c>
      <c r="N855" t="s">
        <v>1206</v>
      </c>
      <c r="O855" t="s">
        <v>89</v>
      </c>
      <c r="P855" t="str">
        <f>"4170072183                    "</f>
        <v xml:space="preserve">4170072183                    </v>
      </c>
      <c r="Q855">
        <v>0</v>
      </c>
      <c r="R855">
        <v>0</v>
      </c>
      <c r="S855">
        <v>0</v>
      </c>
      <c r="T855">
        <v>0</v>
      </c>
      <c r="U855">
        <v>0</v>
      </c>
      <c r="V855">
        <v>0</v>
      </c>
      <c r="W855">
        <v>0</v>
      </c>
      <c r="X855">
        <v>0</v>
      </c>
      <c r="Y855">
        <v>0</v>
      </c>
      <c r="Z855">
        <v>0</v>
      </c>
      <c r="AA855">
        <v>0</v>
      </c>
      <c r="AB855">
        <v>0</v>
      </c>
      <c r="AC855">
        <v>0</v>
      </c>
      <c r="AD855">
        <v>0</v>
      </c>
      <c r="AE855">
        <v>0</v>
      </c>
      <c r="AF855">
        <v>0</v>
      </c>
      <c r="AG855">
        <v>0</v>
      </c>
      <c r="AH855">
        <v>0</v>
      </c>
      <c r="AI855">
        <v>0</v>
      </c>
      <c r="AJ855">
        <v>0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25.52</v>
      </c>
      <c r="AR855">
        <v>0</v>
      </c>
      <c r="AS855">
        <v>0</v>
      </c>
      <c r="AT855">
        <v>0</v>
      </c>
      <c r="AU855">
        <v>0</v>
      </c>
      <c r="AV855">
        <v>0</v>
      </c>
      <c r="AW855">
        <v>0</v>
      </c>
      <c r="AX855">
        <v>0</v>
      </c>
      <c r="AY855">
        <v>0</v>
      </c>
      <c r="AZ855">
        <v>0</v>
      </c>
      <c r="BA855">
        <v>0</v>
      </c>
      <c r="BB855">
        <v>0</v>
      </c>
      <c r="BC855">
        <v>0</v>
      </c>
      <c r="BD855">
        <v>0</v>
      </c>
      <c r="BE855">
        <v>0</v>
      </c>
      <c r="BF855">
        <v>0</v>
      </c>
      <c r="BG855">
        <v>0</v>
      </c>
      <c r="BH855">
        <v>1</v>
      </c>
      <c r="BI855">
        <v>1</v>
      </c>
      <c r="BJ855">
        <v>0.2</v>
      </c>
      <c r="BK855">
        <v>1</v>
      </c>
      <c r="BL855">
        <v>76.06</v>
      </c>
      <c r="BM855">
        <v>11.41</v>
      </c>
      <c r="BN855">
        <v>87.47</v>
      </c>
      <c r="BO855">
        <v>87.47</v>
      </c>
      <c r="BQ855" t="s">
        <v>1207</v>
      </c>
      <c r="BR855" t="s">
        <v>82</v>
      </c>
      <c r="BS855" s="3">
        <v>45999</v>
      </c>
      <c r="BT855" s="4">
        <v>0.72222222222222221</v>
      </c>
      <c r="BU855" t="s">
        <v>1639</v>
      </c>
      <c r="BV855" t="s">
        <v>87</v>
      </c>
      <c r="BW855" t="s">
        <v>153</v>
      </c>
      <c r="BX855" t="s">
        <v>154</v>
      </c>
      <c r="BY855">
        <v>1200</v>
      </c>
      <c r="CA855" t="s">
        <v>1209</v>
      </c>
      <c r="CC855" t="s">
        <v>157</v>
      </c>
      <c r="CD855">
        <v>7945</v>
      </c>
      <c r="CE855" t="s">
        <v>134</v>
      </c>
      <c r="CF855" s="3">
        <v>46000</v>
      </c>
      <c r="CI855">
        <v>1</v>
      </c>
      <c r="CJ855">
        <v>1</v>
      </c>
      <c r="CK855">
        <v>21</v>
      </c>
      <c r="CL855" t="s">
        <v>87</v>
      </c>
    </row>
    <row r="856" spans="1:90" x14ac:dyDescent="0.3">
      <c r="A856" t="s">
        <v>72</v>
      </c>
      <c r="B856" t="s">
        <v>73</v>
      </c>
      <c r="C856" t="s">
        <v>74</v>
      </c>
      <c r="E856" t="str">
        <f>"080069705614"</f>
        <v>080069705614</v>
      </c>
      <c r="F856" s="3">
        <v>45996</v>
      </c>
      <c r="G856">
        <v>202609</v>
      </c>
      <c r="H856" t="s">
        <v>75</v>
      </c>
      <c r="I856" t="s">
        <v>76</v>
      </c>
      <c r="J856" t="s">
        <v>77</v>
      </c>
      <c r="K856" t="s">
        <v>78</v>
      </c>
      <c r="L856" t="s">
        <v>109</v>
      </c>
      <c r="M856" t="s">
        <v>110</v>
      </c>
      <c r="N856" t="s">
        <v>111</v>
      </c>
      <c r="O856" t="s">
        <v>89</v>
      </c>
      <c r="P856" t="str">
        <f>"4170072176                    "</f>
        <v xml:space="preserve">4170072176                    </v>
      </c>
      <c r="Q856">
        <v>0</v>
      </c>
      <c r="R856">
        <v>0</v>
      </c>
      <c r="S856">
        <v>0</v>
      </c>
      <c r="T856">
        <v>0</v>
      </c>
      <c r="U856">
        <v>0</v>
      </c>
      <c r="V856">
        <v>0</v>
      </c>
      <c r="W856">
        <v>0</v>
      </c>
      <c r="X856">
        <v>0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>
        <v>0</v>
      </c>
      <c r="AG856">
        <v>0</v>
      </c>
      <c r="AH856">
        <v>0</v>
      </c>
      <c r="AI856">
        <v>0</v>
      </c>
      <c r="AJ856">
        <v>0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35.9</v>
      </c>
      <c r="AR856">
        <v>0</v>
      </c>
      <c r="AS856">
        <v>0</v>
      </c>
      <c r="AT856">
        <v>0</v>
      </c>
      <c r="AU856">
        <v>0</v>
      </c>
      <c r="AV856">
        <v>0</v>
      </c>
      <c r="AW856">
        <v>0</v>
      </c>
      <c r="AX856">
        <v>0</v>
      </c>
      <c r="AY856">
        <v>0</v>
      </c>
      <c r="AZ856">
        <v>0</v>
      </c>
      <c r="BA856">
        <v>0</v>
      </c>
      <c r="BB856">
        <v>0</v>
      </c>
      <c r="BC856">
        <v>0</v>
      </c>
      <c r="BD856">
        <v>0</v>
      </c>
      <c r="BE856">
        <v>0</v>
      </c>
      <c r="BF856">
        <v>0</v>
      </c>
      <c r="BG856">
        <v>0</v>
      </c>
      <c r="BH856">
        <v>1</v>
      </c>
      <c r="BI856">
        <v>1</v>
      </c>
      <c r="BJ856">
        <v>0.2</v>
      </c>
      <c r="BK856">
        <v>1</v>
      </c>
      <c r="BL856">
        <v>106.98</v>
      </c>
      <c r="BM856">
        <v>16.05</v>
      </c>
      <c r="BN856">
        <v>123.03</v>
      </c>
      <c r="BO856">
        <v>123.03</v>
      </c>
      <c r="BQ856" t="s">
        <v>112</v>
      </c>
      <c r="BR856" t="s">
        <v>82</v>
      </c>
      <c r="BS856" s="3">
        <v>45999</v>
      </c>
      <c r="BT856" s="4">
        <v>0.4375</v>
      </c>
      <c r="BU856" t="s">
        <v>113</v>
      </c>
      <c r="BV856" t="s">
        <v>84</v>
      </c>
      <c r="BY856">
        <v>1200</v>
      </c>
      <c r="CC856" t="s">
        <v>110</v>
      </c>
      <c r="CD856">
        <v>1748</v>
      </c>
      <c r="CE856" t="s">
        <v>134</v>
      </c>
      <c r="CF856" s="3">
        <v>45999</v>
      </c>
      <c r="CI856">
        <v>1</v>
      </c>
      <c r="CJ856">
        <v>1</v>
      </c>
      <c r="CK856">
        <v>24</v>
      </c>
      <c r="CL856" t="s">
        <v>87</v>
      </c>
    </row>
    <row r="857" spans="1:90" x14ac:dyDescent="0.3">
      <c r="A857" t="s">
        <v>72</v>
      </c>
      <c r="B857" t="s">
        <v>73</v>
      </c>
      <c r="C857" t="s">
        <v>74</v>
      </c>
      <c r="E857" t="str">
        <f>"080069705650"</f>
        <v>080069705650</v>
      </c>
      <c r="F857" s="3">
        <v>45996</v>
      </c>
      <c r="G857">
        <v>202609</v>
      </c>
      <c r="H857" t="s">
        <v>75</v>
      </c>
      <c r="I857" t="s">
        <v>76</v>
      </c>
      <c r="J857" t="s">
        <v>77</v>
      </c>
      <c r="K857" t="s">
        <v>78</v>
      </c>
      <c r="L857" t="s">
        <v>100</v>
      </c>
      <c r="M857" t="s">
        <v>101</v>
      </c>
      <c r="N857" t="s">
        <v>102</v>
      </c>
      <c r="O857" t="s">
        <v>89</v>
      </c>
      <c r="P857" t="str">
        <f>"4170072200                    "</f>
        <v xml:space="preserve">4170072200                    </v>
      </c>
      <c r="Q857">
        <v>0</v>
      </c>
      <c r="R857">
        <v>0</v>
      </c>
      <c r="S857">
        <v>0</v>
      </c>
      <c r="T857">
        <v>0</v>
      </c>
      <c r="U857">
        <v>0</v>
      </c>
      <c r="V857">
        <v>0</v>
      </c>
      <c r="W857">
        <v>0</v>
      </c>
      <c r="X857">
        <v>0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>
        <v>0</v>
      </c>
      <c r="AG857">
        <v>0</v>
      </c>
      <c r="AH857">
        <v>0</v>
      </c>
      <c r="AI857">
        <v>0</v>
      </c>
      <c r="AJ857">
        <v>0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25.52</v>
      </c>
      <c r="AR857">
        <v>0</v>
      </c>
      <c r="AS857">
        <v>0</v>
      </c>
      <c r="AT857">
        <v>0</v>
      </c>
      <c r="AU857">
        <v>0</v>
      </c>
      <c r="AV857">
        <v>0</v>
      </c>
      <c r="AW857">
        <v>0</v>
      </c>
      <c r="AX857">
        <v>0</v>
      </c>
      <c r="AY857">
        <v>0</v>
      </c>
      <c r="AZ857">
        <v>0</v>
      </c>
      <c r="BA857">
        <v>0</v>
      </c>
      <c r="BB857">
        <v>0</v>
      </c>
      <c r="BC857">
        <v>0</v>
      </c>
      <c r="BD857">
        <v>0</v>
      </c>
      <c r="BE857">
        <v>0</v>
      </c>
      <c r="BF857">
        <v>0</v>
      </c>
      <c r="BG857">
        <v>0</v>
      </c>
      <c r="BH857">
        <v>1</v>
      </c>
      <c r="BI857">
        <v>1</v>
      </c>
      <c r="BJ857">
        <v>0.2</v>
      </c>
      <c r="BK857">
        <v>1</v>
      </c>
      <c r="BL857">
        <v>76.06</v>
      </c>
      <c r="BM857">
        <v>11.41</v>
      </c>
      <c r="BN857">
        <v>87.47</v>
      </c>
      <c r="BO857">
        <v>87.47</v>
      </c>
      <c r="BQ857" t="s">
        <v>103</v>
      </c>
      <c r="BR857" t="s">
        <v>82</v>
      </c>
      <c r="BS857" s="3">
        <v>45999</v>
      </c>
      <c r="BT857" s="4">
        <v>0.33333333333333331</v>
      </c>
      <c r="BU857" t="s">
        <v>1534</v>
      </c>
      <c r="BV857" t="s">
        <v>84</v>
      </c>
      <c r="BY857">
        <v>1200</v>
      </c>
      <c r="CA857" t="s">
        <v>107</v>
      </c>
      <c r="CC857" t="s">
        <v>101</v>
      </c>
      <c r="CD857">
        <v>4051</v>
      </c>
      <c r="CE857" t="s">
        <v>134</v>
      </c>
      <c r="CF857" s="3">
        <v>46000</v>
      </c>
      <c r="CI857">
        <v>1</v>
      </c>
      <c r="CJ857">
        <v>1</v>
      </c>
      <c r="CK857">
        <v>21</v>
      </c>
      <c r="CL857" t="s">
        <v>87</v>
      </c>
    </row>
    <row r="858" spans="1:90" x14ac:dyDescent="0.3">
      <c r="A858" t="s">
        <v>72</v>
      </c>
      <c r="B858" t="s">
        <v>73</v>
      </c>
      <c r="C858" t="s">
        <v>74</v>
      </c>
      <c r="E858" t="str">
        <f>"080069705697"</f>
        <v>080069705697</v>
      </c>
      <c r="F858" s="3">
        <v>45996</v>
      </c>
      <c r="G858">
        <v>202609</v>
      </c>
      <c r="H858" t="s">
        <v>75</v>
      </c>
      <c r="I858" t="s">
        <v>76</v>
      </c>
      <c r="J858" t="s">
        <v>77</v>
      </c>
      <c r="K858" t="s">
        <v>78</v>
      </c>
      <c r="L858" t="s">
        <v>465</v>
      </c>
      <c r="M858" t="s">
        <v>466</v>
      </c>
      <c r="N858" t="s">
        <v>724</v>
      </c>
      <c r="O858" t="s">
        <v>89</v>
      </c>
      <c r="P858" t="str">
        <f>"4170072089                    "</f>
        <v xml:space="preserve">4170072089                    </v>
      </c>
      <c r="Q858">
        <v>0</v>
      </c>
      <c r="R858">
        <v>0</v>
      </c>
      <c r="S858">
        <v>0</v>
      </c>
      <c r="T858">
        <v>0</v>
      </c>
      <c r="U858">
        <v>0</v>
      </c>
      <c r="V858">
        <v>0</v>
      </c>
      <c r="W858">
        <v>0</v>
      </c>
      <c r="X858">
        <v>0</v>
      </c>
      <c r="Y858">
        <v>0</v>
      </c>
      <c r="Z858">
        <v>0</v>
      </c>
      <c r="AA858">
        <v>0</v>
      </c>
      <c r="AB858">
        <v>0</v>
      </c>
      <c r="AC858">
        <v>0</v>
      </c>
      <c r="AD858">
        <v>0</v>
      </c>
      <c r="AE858">
        <v>0</v>
      </c>
      <c r="AF858">
        <v>0</v>
      </c>
      <c r="AG858">
        <v>0</v>
      </c>
      <c r="AH858">
        <v>0</v>
      </c>
      <c r="AI858">
        <v>0</v>
      </c>
      <c r="AJ858">
        <v>0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19.940000000000001</v>
      </c>
      <c r="AR858">
        <v>0</v>
      </c>
      <c r="AS858">
        <v>0</v>
      </c>
      <c r="AT858">
        <v>0</v>
      </c>
      <c r="AU858">
        <v>0</v>
      </c>
      <c r="AV858">
        <v>0</v>
      </c>
      <c r="AW858">
        <v>0</v>
      </c>
      <c r="AX858">
        <v>0</v>
      </c>
      <c r="AY858">
        <v>0</v>
      </c>
      <c r="AZ858">
        <v>0</v>
      </c>
      <c r="BA858">
        <v>0</v>
      </c>
      <c r="BB858">
        <v>0</v>
      </c>
      <c r="BC858">
        <v>0</v>
      </c>
      <c r="BD858">
        <v>0</v>
      </c>
      <c r="BE858">
        <v>0</v>
      </c>
      <c r="BF858">
        <v>0</v>
      </c>
      <c r="BG858">
        <v>0</v>
      </c>
      <c r="BH858">
        <v>1</v>
      </c>
      <c r="BI858">
        <v>1</v>
      </c>
      <c r="BJ858">
        <v>0.2</v>
      </c>
      <c r="BK858">
        <v>1</v>
      </c>
      <c r="BL858">
        <v>59.42</v>
      </c>
      <c r="BM858">
        <v>8.91</v>
      </c>
      <c r="BN858">
        <v>68.33</v>
      </c>
      <c r="BO858">
        <v>68.33</v>
      </c>
      <c r="BQ858" t="s">
        <v>725</v>
      </c>
      <c r="BR858" t="s">
        <v>82</v>
      </c>
      <c r="BS858" s="3">
        <v>45999</v>
      </c>
      <c r="BT858" s="4">
        <v>0.38819444444444445</v>
      </c>
      <c r="BU858" t="s">
        <v>1640</v>
      </c>
      <c r="BV858" t="s">
        <v>84</v>
      </c>
      <c r="BY858">
        <v>1200</v>
      </c>
      <c r="CA858" t="s">
        <v>727</v>
      </c>
      <c r="CC858" t="s">
        <v>466</v>
      </c>
      <c r="CD858">
        <v>1422</v>
      </c>
      <c r="CE858" t="s">
        <v>134</v>
      </c>
      <c r="CF858" s="3">
        <v>45999</v>
      </c>
      <c r="CI858">
        <v>1</v>
      </c>
      <c r="CJ858">
        <v>1</v>
      </c>
      <c r="CK858">
        <v>22</v>
      </c>
      <c r="CL858" t="s">
        <v>87</v>
      </c>
    </row>
    <row r="859" spans="1:90" x14ac:dyDescent="0.3">
      <c r="A859" t="s">
        <v>72</v>
      </c>
      <c r="B859" t="s">
        <v>73</v>
      </c>
      <c r="C859" t="s">
        <v>74</v>
      </c>
      <c r="E859" t="str">
        <f>"080069705723"</f>
        <v>080069705723</v>
      </c>
      <c r="F859" s="3">
        <v>45996</v>
      </c>
      <c r="G859">
        <v>202609</v>
      </c>
      <c r="H859" t="s">
        <v>75</v>
      </c>
      <c r="I859" t="s">
        <v>76</v>
      </c>
      <c r="J859" t="s">
        <v>77</v>
      </c>
      <c r="K859" t="s">
        <v>78</v>
      </c>
      <c r="L859" t="s">
        <v>156</v>
      </c>
      <c r="M859" t="s">
        <v>157</v>
      </c>
      <c r="N859" t="s">
        <v>880</v>
      </c>
      <c r="O859" t="s">
        <v>89</v>
      </c>
      <c r="P859" t="str">
        <f>"4170072207                    "</f>
        <v xml:space="preserve">4170072207                    </v>
      </c>
      <c r="Q859">
        <v>0</v>
      </c>
      <c r="R859">
        <v>0</v>
      </c>
      <c r="S859">
        <v>0</v>
      </c>
      <c r="T859">
        <v>0</v>
      </c>
      <c r="U859">
        <v>0</v>
      </c>
      <c r="V859">
        <v>0</v>
      </c>
      <c r="W859">
        <v>0</v>
      </c>
      <c r="X859">
        <v>0</v>
      </c>
      <c r="Y859">
        <v>0</v>
      </c>
      <c r="Z859">
        <v>0</v>
      </c>
      <c r="AA859">
        <v>0</v>
      </c>
      <c r="AB859">
        <v>0</v>
      </c>
      <c r="AC859">
        <v>0</v>
      </c>
      <c r="AD859">
        <v>0</v>
      </c>
      <c r="AE859">
        <v>0</v>
      </c>
      <c r="AF859">
        <v>0</v>
      </c>
      <c r="AG859">
        <v>0</v>
      </c>
      <c r="AH859">
        <v>0</v>
      </c>
      <c r="AI859">
        <v>0</v>
      </c>
      <c r="AJ859">
        <v>0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25.52</v>
      </c>
      <c r="AR859">
        <v>0</v>
      </c>
      <c r="AS859">
        <v>0</v>
      </c>
      <c r="AT859">
        <v>0</v>
      </c>
      <c r="AU859">
        <v>0</v>
      </c>
      <c r="AV859">
        <v>0</v>
      </c>
      <c r="AW859">
        <v>0</v>
      </c>
      <c r="AX859">
        <v>0</v>
      </c>
      <c r="AY859">
        <v>0</v>
      </c>
      <c r="AZ859">
        <v>0</v>
      </c>
      <c r="BA859">
        <v>0</v>
      </c>
      <c r="BB859">
        <v>0</v>
      </c>
      <c r="BC859">
        <v>0</v>
      </c>
      <c r="BD859">
        <v>0</v>
      </c>
      <c r="BE859">
        <v>0</v>
      </c>
      <c r="BF859">
        <v>0</v>
      </c>
      <c r="BG859">
        <v>0</v>
      </c>
      <c r="BH859">
        <v>1</v>
      </c>
      <c r="BI859">
        <v>1</v>
      </c>
      <c r="BJ859">
        <v>0.2</v>
      </c>
      <c r="BK859">
        <v>1</v>
      </c>
      <c r="BL859">
        <v>76.06</v>
      </c>
      <c r="BM859">
        <v>11.41</v>
      </c>
      <c r="BN859">
        <v>87.47</v>
      </c>
      <c r="BO859">
        <v>87.47</v>
      </c>
      <c r="BQ859" t="s">
        <v>881</v>
      </c>
      <c r="BR859" t="s">
        <v>82</v>
      </c>
      <c r="BS859" s="3">
        <v>46000</v>
      </c>
      <c r="BT859" s="4">
        <v>0.62083333333333335</v>
      </c>
      <c r="BU859" t="s">
        <v>1578</v>
      </c>
      <c r="BV859" t="s">
        <v>87</v>
      </c>
      <c r="BW859" t="s">
        <v>153</v>
      </c>
      <c r="BX859" t="s">
        <v>154</v>
      </c>
      <c r="BY859">
        <v>1200</v>
      </c>
      <c r="CA859" t="s">
        <v>668</v>
      </c>
      <c r="CC859" t="s">
        <v>157</v>
      </c>
      <c r="CD859">
        <v>7550</v>
      </c>
      <c r="CE859" t="s">
        <v>134</v>
      </c>
      <c r="CF859" s="3">
        <v>46001</v>
      </c>
      <c r="CI859">
        <v>1</v>
      </c>
      <c r="CJ859">
        <v>2</v>
      </c>
      <c r="CK859">
        <v>21</v>
      </c>
      <c r="CL859" t="s">
        <v>87</v>
      </c>
    </row>
    <row r="860" spans="1:90" x14ac:dyDescent="0.3">
      <c r="A860" t="s">
        <v>72</v>
      </c>
      <c r="B860" t="s">
        <v>73</v>
      </c>
      <c r="C860" t="s">
        <v>74</v>
      </c>
      <c r="E860" t="str">
        <f>"080069705747"</f>
        <v>080069705747</v>
      </c>
      <c r="F860" s="3">
        <v>45996</v>
      </c>
      <c r="G860">
        <v>202609</v>
      </c>
      <c r="H860" t="s">
        <v>75</v>
      </c>
      <c r="I860" t="s">
        <v>76</v>
      </c>
      <c r="J860" t="s">
        <v>77</v>
      </c>
      <c r="K860" t="s">
        <v>78</v>
      </c>
      <c r="L860" t="s">
        <v>75</v>
      </c>
      <c r="M860" t="s">
        <v>76</v>
      </c>
      <c r="N860" t="s">
        <v>195</v>
      </c>
      <c r="O860" t="s">
        <v>89</v>
      </c>
      <c r="P860" t="str">
        <f>"4170072117                    "</f>
        <v xml:space="preserve">4170072117                    </v>
      </c>
      <c r="Q860">
        <v>0</v>
      </c>
      <c r="R860">
        <v>0</v>
      </c>
      <c r="S860">
        <v>0</v>
      </c>
      <c r="T860">
        <v>0</v>
      </c>
      <c r="U860">
        <v>0</v>
      </c>
      <c r="V860">
        <v>0</v>
      </c>
      <c r="W860">
        <v>0</v>
      </c>
      <c r="X860">
        <v>0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0</v>
      </c>
      <c r="AE860">
        <v>0</v>
      </c>
      <c r="AF860">
        <v>0</v>
      </c>
      <c r="AG860">
        <v>0</v>
      </c>
      <c r="AH860">
        <v>0</v>
      </c>
      <c r="AI860">
        <v>0</v>
      </c>
      <c r="AJ860">
        <v>0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19.940000000000001</v>
      </c>
      <c r="AR860">
        <v>0</v>
      </c>
      <c r="AS860">
        <v>0</v>
      </c>
      <c r="AT860">
        <v>0</v>
      </c>
      <c r="AU860">
        <v>0</v>
      </c>
      <c r="AV860">
        <v>0</v>
      </c>
      <c r="AW860">
        <v>0</v>
      </c>
      <c r="AX860">
        <v>0</v>
      </c>
      <c r="AY860">
        <v>0</v>
      </c>
      <c r="AZ860">
        <v>0</v>
      </c>
      <c r="BA860">
        <v>0</v>
      </c>
      <c r="BB860">
        <v>0</v>
      </c>
      <c r="BC860">
        <v>0</v>
      </c>
      <c r="BD860">
        <v>0</v>
      </c>
      <c r="BE860">
        <v>0</v>
      </c>
      <c r="BF860">
        <v>0</v>
      </c>
      <c r="BG860">
        <v>0</v>
      </c>
      <c r="BH860">
        <v>1</v>
      </c>
      <c r="BI860">
        <v>1</v>
      </c>
      <c r="BJ860">
        <v>0.2</v>
      </c>
      <c r="BK860">
        <v>1</v>
      </c>
      <c r="BL860">
        <v>59.42</v>
      </c>
      <c r="BM860">
        <v>8.91</v>
      </c>
      <c r="BN860">
        <v>68.33</v>
      </c>
      <c r="BO860">
        <v>68.33</v>
      </c>
      <c r="BQ860" t="s">
        <v>196</v>
      </c>
      <c r="BR860" t="s">
        <v>82</v>
      </c>
      <c r="BS860" s="3">
        <v>45999</v>
      </c>
      <c r="BT860" s="4">
        <v>0.31736111111111109</v>
      </c>
      <c r="BU860" t="s">
        <v>83</v>
      </c>
      <c r="BV860" t="s">
        <v>84</v>
      </c>
      <c r="BY860">
        <v>1200</v>
      </c>
      <c r="CA860" t="s">
        <v>92</v>
      </c>
      <c r="CC860" t="s">
        <v>76</v>
      </c>
      <c r="CD860">
        <v>1600</v>
      </c>
      <c r="CE860" t="s">
        <v>134</v>
      </c>
      <c r="CF860" s="3">
        <v>45999</v>
      </c>
      <c r="CI860">
        <v>1</v>
      </c>
      <c r="CJ860">
        <v>1</v>
      </c>
      <c r="CK860">
        <v>22</v>
      </c>
      <c r="CL860" t="s">
        <v>87</v>
      </c>
    </row>
    <row r="861" spans="1:90" x14ac:dyDescent="0.3">
      <c r="A861" t="s">
        <v>72</v>
      </c>
      <c r="B861" t="s">
        <v>73</v>
      </c>
      <c r="C861" t="s">
        <v>74</v>
      </c>
      <c r="E861" t="str">
        <f>"080069705758"</f>
        <v>080069705758</v>
      </c>
      <c r="F861" s="3">
        <v>45996</v>
      </c>
      <c r="G861">
        <v>202609</v>
      </c>
      <c r="H861" t="s">
        <v>75</v>
      </c>
      <c r="I861" t="s">
        <v>76</v>
      </c>
      <c r="J861" t="s">
        <v>77</v>
      </c>
      <c r="K861" t="s">
        <v>78</v>
      </c>
      <c r="L861" t="s">
        <v>302</v>
      </c>
      <c r="M861" t="s">
        <v>303</v>
      </c>
      <c r="N861" t="s">
        <v>425</v>
      </c>
      <c r="O861" t="s">
        <v>89</v>
      </c>
      <c r="P861" t="str">
        <f>"4170072056                    "</f>
        <v xml:space="preserve">4170072056                    </v>
      </c>
      <c r="Q861">
        <v>0</v>
      </c>
      <c r="R861">
        <v>0</v>
      </c>
      <c r="S861">
        <v>0</v>
      </c>
      <c r="T861">
        <v>0</v>
      </c>
      <c r="U861">
        <v>0</v>
      </c>
      <c r="V861">
        <v>0</v>
      </c>
      <c r="W861">
        <v>0</v>
      </c>
      <c r="X861">
        <v>0</v>
      </c>
      <c r="Y861">
        <v>0</v>
      </c>
      <c r="Z861">
        <v>0</v>
      </c>
      <c r="AA861">
        <v>0</v>
      </c>
      <c r="AB861">
        <v>0</v>
      </c>
      <c r="AC861">
        <v>0</v>
      </c>
      <c r="AD861">
        <v>0</v>
      </c>
      <c r="AE861">
        <v>0</v>
      </c>
      <c r="AF861">
        <v>0</v>
      </c>
      <c r="AG861">
        <v>0</v>
      </c>
      <c r="AH861">
        <v>0</v>
      </c>
      <c r="AI861">
        <v>0</v>
      </c>
      <c r="AJ861">
        <v>0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25.52</v>
      </c>
      <c r="AR861">
        <v>0</v>
      </c>
      <c r="AS861">
        <v>0</v>
      </c>
      <c r="AT861">
        <v>0</v>
      </c>
      <c r="AU861">
        <v>0</v>
      </c>
      <c r="AV861">
        <v>0</v>
      </c>
      <c r="AW861">
        <v>0</v>
      </c>
      <c r="AX861">
        <v>0</v>
      </c>
      <c r="AY861">
        <v>0</v>
      </c>
      <c r="AZ861">
        <v>0</v>
      </c>
      <c r="BA861">
        <v>0</v>
      </c>
      <c r="BB861">
        <v>0</v>
      </c>
      <c r="BC861">
        <v>0</v>
      </c>
      <c r="BD861">
        <v>0</v>
      </c>
      <c r="BE861">
        <v>0</v>
      </c>
      <c r="BF861">
        <v>0</v>
      </c>
      <c r="BG861">
        <v>0</v>
      </c>
      <c r="BH861">
        <v>1</v>
      </c>
      <c r="BI861">
        <v>1</v>
      </c>
      <c r="BJ861">
        <v>0</v>
      </c>
      <c r="BK861">
        <v>1</v>
      </c>
      <c r="BL861">
        <v>76.06</v>
      </c>
      <c r="BM861">
        <v>11.41</v>
      </c>
      <c r="BN861">
        <v>87.47</v>
      </c>
      <c r="BO861">
        <v>87.47</v>
      </c>
      <c r="BQ861" t="s">
        <v>426</v>
      </c>
      <c r="BR861" t="s">
        <v>82</v>
      </c>
      <c r="BS861" s="3">
        <v>45999</v>
      </c>
      <c r="BT861" s="4">
        <v>0.30208333333333331</v>
      </c>
      <c r="BU861" t="s">
        <v>524</v>
      </c>
      <c r="BV861" t="s">
        <v>84</v>
      </c>
      <c r="BY861">
        <v>120</v>
      </c>
      <c r="CA861">
        <v>7712195338085</v>
      </c>
      <c r="CC861" t="s">
        <v>303</v>
      </c>
      <c r="CD861" s="5" t="s">
        <v>350</v>
      </c>
      <c r="CE861" t="s">
        <v>134</v>
      </c>
      <c r="CF861" s="3">
        <v>45999</v>
      </c>
      <c r="CI861">
        <v>1</v>
      </c>
      <c r="CJ861">
        <v>1</v>
      </c>
      <c r="CK861">
        <v>21</v>
      </c>
      <c r="CL861" t="s">
        <v>87</v>
      </c>
    </row>
    <row r="862" spans="1:90" x14ac:dyDescent="0.3">
      <c r="A862" t="s">
        <v>72</v>
      </c>
      <c r="B862" t="s">
        <v>73</v>
      </c>
      <c r="C862" t="s">
        <v>74</v>
      </c>
      <c r="E862" t="str">
        <f>"080069705805"</f>
        <v>080069705805</v>
      </c>
      <c r="F862" s="3">
        <v>45996</v>
      </c>
      <c r="G862">
        <v>202609</v>
      </c>
      <c r="H862" t="s">
        <v>75</v>
      </c>
      <c r="I862" t="s">
        <v>76</v>
      </c>
      <c r="J862" t="s">
        <v>77</v>
      </c>
      <c r="K862" t="s">
        <v>78</v>
      </c>
      <c r="L862" t="s">
        <v>100</v>
      </c>
      <c r="M862" t="s">
        <v>101</v>
      </c>
      <c r="N862" t="s">
        <v>498</v>
      </c>
      <c r="O862" t="s">
        <v>89</v>
      </c>
      <c r="P862" t="str">
        <f>"4170072232                    "</f>
        <v xml:space="preserve">4170072232                    </v>
      </c>
      <c r="Q862">
        <v>0</v>
      </c>
      <c r="R862">
        <v>0</v>
      </c>
      <c r="S862">
        <v>0</v>
      </c>
      <c r="T862">
        <v>0</v>
      </c>
      <c r="U862">
        <v>0</v>
      </c>
      <c r="V862">
        <v>0</v>
      </c>
      <c r="W862">
        <v>0</v>
      </c>
      <c r="X862">
        <v>0</v>
      </c>
      <c r="Y862">
        <v>0</v>
      </c>
      <c r="Z862">
        <v>0</v>
      </c>
      <c r="AA862">
        <v>0</v>
      </c>
      <c r="AB862">
        <v>0</v>
      </c>
      <c r="AC862">
        <v>0</v>
      </c>
      <c r="AD862">
        <v>0</v>
      </c>
      <c r="AE862">
        <v>0</v>
      </c>
      <c r="AF862">
        <v>0</v>
      </c>
      <c r="AG862">
        <v>0</v>
      </c>
      <c r="AH862">
        <v>0</v>
      </c>
      <c r="AI862">
        <v>0</v>
      </c>
      <c r="AJ862">
        <v>0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25.52</v>
      </c>
      <c r="AR862">
        <v>0</v>
      </c>
      <c r="AS862">
        <v>0</v>
      </c>
      <c r="AT862">
        <v>0</v>
      </c>
      <c r="AU862">
        <v>0</v>
      </c>
      <c r="AV862">
        <v>0</v>
      </c>
      <c r="AW862">
        <v>0</v>
      </c>
      <c r="AX862">
        <v>0</v>
      </c>
      <c r="AY862">
        <v>0</v>
      </c>
      <c r="AZ862">
        <v>0</v>
      </c>
      <c r="BA862">
        <v>0</v>
      </c>
      <c r="BB862">
        <v>0</v>
      </c>
      <c r="BC862">
        <v>0</v>
      </c>
      <c r="BD862">
        <v>0</v>
      </c>
      <c r="BE862">
        <v>0</v>
      </c>
      <c r="BF862">
        <v>0</v>
      </c>
      <c r="BG862">
        <v>0</v>
      </c>
      <c r="BH862">
        <v>1</v>
      </c>
      <c r="BI862">
        <v>1</v>
      </c>
      <c r="BJ862">
        <v>0.2</v>
      </c>
      <c r="BK862">
        <v>1</v>
      </c>
      <c r="BL862">
        <v>76.06</v>
      </c>
      <c r="BM862">
        <v>11.41</v>
      </c>
      <c r="BN862">
        <v>87.47</v>
      </c>
      <c r="BO862">
        <v>87.47</v>
      </c>
      <c r="BQ862" t="s">
        <v>499</v>
      </c>
      <c r="BR862" t="s">
        <v>82</v>
      </c>
      <c r="BS862" s="3">
        <v>45999</v>
      </c>
      <c r="BT862" s="4">
        <v>0.41388888888888886</v>
      </c>
      <c r="BU862" t="s">
        <v>1603</v>
      </c>
      <c r="BV862" t="s">
        <v>84</v>
      </c>
      <c r="BY862">
        <v>1200</v>
      </c>
      <c r="CA862" t="s">
        <v>1541</v>
      </c>
      <c r="CC862" t="s">
        <v>101</v>
      </c>
      <c r="CD862">
        <v>4052</v>
      </c>
      <c r="CE862" t="s">
        <v>134</v>
      </c>
      <c r="CF862" s="3">
        <v>46000</v>
      </c>
      <c r="CI862">
        <v>1</v>
      </c>
      <c r="CJ862">
        <v>1</v>
      </c>
      <c r="CK862">
        <v>21</v>
      </c>
      <c r="CL862" t="s">
        <v>87</v>
      </c>
    </row>
    <row r="863" spans="1:90" x14ac:dyDescent="0.3">
      <c r="A863" t="s">
        <v>72</v>
      </c>
      <c r="B863" t="s">
        <v>73</v>
      </c>
      <c r="C863" t="s">
        <v>74</v>
      </c>
      <c r="E863" t="str">
        <f>"080069705800"</f>
        <v>080069705800</v>
      </c>
      <c r="F863" s="3">
        <v>45996</v>
      </c>
      <c r="G863">
        <v>202609</v>
      </c>
      <c r="H863" t="s">
        <v>75</v>
      </c>
      <c r="I863" t="s">
        <v>76</v>
      </c>
      <c r="J863" t="s">
        <v>77</v>
      </c>
      <c r="K863" t="s">
        <v>78</v>
      </c>
      <c r="L863" t="s">
        <v>465</v>
      </c>
      <c r="M863" t="s">
        <v>466</v>
      </c>
      <c r="N863" t="s">
        <v>1641</v>
      </c>
      <c r="O863" t="s">
        <v>89</v>
      </c>
      <c r="P863" t="str">
        <f>"4170072121                    "</f>
        <v xml:space="preserve">4170072121                    </v>
      </c>
      <c r="Q863">
        <v>0</v>
      </c>
      <c r="R863">
        <v>0</v>
      </c>
      <c r="S863">
        <v>0</v>
      </c>
      <c r="T863">
        <v>0</v>
      </c>
      <c r="U863">
        <v>0</v>
      </c>
      <c r="V863">
        <v>0</v>
      </c>
      <c r="W863">
        <v>0</v>
      </c>
      <c r="X863">
        <v>0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>
        <v>0</v>
      </c>
      <c r="AG863">
        <v>0</v>
      </c>
      <c r="AH863">
        <v>0</v>
      </c>
      <c r="AI863">
        <v>0</v>
      </c>
      <c r="AJ863">
        <v>0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19.940000000000001</v>
      </c>
      <c r="AR863">
        <v>0</v>
      </c>
      <c r="AS863">
        <v>0</v>
      </c>
      <c r="AT863">
        <v>0</v>
      </c>
      <c r="AU863">
        <v>0</v>
      </c>
      <c r="AV863">
        <v>0</v>
      </c>
      <c r="AW863">
        <v>0</v>
      </c>
      <c r="AX863">
        <v>0</v>
      </c>
      <c r="AY863">
        <v>0</v>
      </c>
      <c r="AZ863">
        <v>0</v>
      </c>
      <c r="BA863">
        <v>0</v>
      </c>
      <c r="BB863">
        <v>0</v>
      </c>
      <c r="BC863">
        <v>0</v>
      </c>
      <c r="BD863">
        <v>0</v>
      </c>
      <c r="BE863">
        <v>0</v>
      </c>
      <c r="BF863">
        <v>0</v>
      </c>
      <c r="BG863">
        <v>0</v>
      </c>
      <c r="BH863">
        <v>1</v>
      </c>
      <c r="BI863">
        <v>1</v>
      </c>
      <c r="BJ863">
        <v>0.2</v>
      </c>
      <c r="BK863">
        <v>1</v>
      </c>
      <c r="BL863">
        <v>59.42</v>
      </c>
      <c r="BM863">
        <v>8.91</v>
      </c>
      <c r="BN863">
        <v>68.33</v>
      </c>
      <c r="BO863">
        <v>68.33</v>
      </c>
      <c r="BQ863" t="s">
        <v>1642</v>
      </c>
      <c r="BR863" t="s">
        <v>82</v>
      </c>
      <c r="BS863" s="3">
        <v>45999</v>
      </c>
      <c r="BT863" s="4">
        <v>0.43611111111111112</v>
      </c>
      <c r="BU863" t="s">
        <v>1643</v>
      </c>
      <c r="BV863" t="s">
        <v>84</v>
      </c>
      <c r="BY863">
        <v>1200</v>
      </c>
      <c r="CC863" t="s">
        <v>466</v>
      </c>
      <c r="CD863">
        <v>1401</v>
      </c>
      <c r="CE863" t="s">
        <v>134</v>
      </c>
      <c r="CF863" s="3">
        <v>46000</v>
      </c>
      <c r="CI863">
        <v>1</v>
      </c>
      <c r="CJ863">
        <v>1</v>
      </c>
      <c r="CK863">
        <v>22</v>
      </c>
      <c r="CL863" t="s">
        <v>87</v>
      </c>
    </row>
    <row r="864" spans="1:90" x14ac:dyDescent="0.3">
      <c r="A864" t="s">
        <v>72</v>
      </c>
      <c r="B864" t="s">
        <v>73</v>
      </c>
      <c r="C864" t="s">
        <v>74</v>
      </c>
      <c r="E864" t="str">
        <f>"080069705786"</f>
        <v>080069705786</v>
      </c>
      <c r="F864" s="3">
        <v>45996</v>
      </c>
      <c r="G864">
        <v>202609</v>
      </c>
      <c r="H864" t="s">
        <v>75</v>
      </c>
      <c r="I864" t="s">
        <v>76</v>
      </c>
      <c r="J864" t="s">
        <v>77</v>
      </c>
      <c r="K864" t="s">
        <v>78</v>
      </c>
      <c r="L864" t="s">
        <v>156</v>
      </c>
      <c r="M864" t="s">
        <v>157</v>
      </c>
      <c r="N864" t="s">
        <v>1644</v>
      </c>
      <c r="O864" t="s">
        <v>89</v>
      </c>
      <c r="P864" t="str">
        <f>"4170072064                    "</f>
        <v xml:space="preserve">4170072064                    </v>
      </c>
      <c r="Q864">
        <v>0</v>
      </c>
      <c r="R864">
        <v>0</v>
      </c>
      <c r="S864">
        <v>0</v>
      </c>
      <c r="T864">
        <v>0</v>
      </c>
      <c r="U864">
        <v>0</v>
      </c>
      <c r="V864">
        <v>0</v>
      </c>
      <c r="W864">
        <v>0</v>
      </c>
      <c r="X864">
        <v>0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>
        <v>0</v>
      </c>
      <c r="AG864">
        <v>0</v>
      </c>
      <c r="AH864">
        <v>0</v>
      </c>
      <c r="AI864">
        <v>0</v>
      </c>
      <c r="AJ864">
        <v>0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25.52</v>
      </c>
      <c r="AR864">
        <v>0</v>
      </c>
      <c r="AS864">
        <v>0</v>
      </c>
      <c r="AT864">
        <v>0</v>
      </c>
      <c r="AU864">
        <v>0</v>
      </c>
      <c r="AV864">
        <v>0</v>
      </c>
      <c r="AW864">
        <v>0</v>
      </c>
      <c r="AX864">
        <v>0</v>
      </c>
      <c r="AY864">
        <v>0</v>
      </c>
      <c r="AZ864">
        <v>0</v>
      </c>
      <c r="BA864">
        <v>0</v>
      </c>
      <c r="BB864">
        <v>0</v>
      </c>
      <c r="BC864">
        <v>0</v>
      </c>
      <c r="BD864">
        <v>0</v>
      </c>
      <c r="BE864">
        <v>0</v>
      </c>
      <c r="BF864">
        <v>0</v>
      </c>
      <c r="BG864">
        <v>0</v>
      </c>
      <c r="BH864">
        <v>1</v>
      </c>
      <c r="BI864">
        <v>1</v>
      </c>
      <c r="BJ864">
        <v>0.2</v>
      </c>
      <c r="BK864">
        <v>1</v>
      </c>
      <c r="BL864">
        <v>76.06</v>
      </c>
      <c r="BM864">
        <v>11.41</v>
      </c>
      <c r="BN864">
        <v>87.47</v>
      </c>
      <c r="BO864">
        <v>87.47</v>
      </c>
      <c r="BQ864" t="s">
        <v>1645</v>
      </c>
      <c r="BR864" t="s">
        <v>82</v>
      </c>
      <c r="BS864" s="3">
        <v>45999</v>
      </c>
      <c r="BT864" s="4">
        <v>0.51527777777777772</v>
      </c>
      <c r="BU864" t="s">
        <v>1646</v>
      </c>
      <c r="BV864" t="s">
        <v>87</v>
      </c>
      <c r="BW864" t="s">
        <v>153</v>
      </c>
      <c r="BX864" t="s">
        <v>154</v>
      </c>
      <c r="BY864">
        <v>1200</v>
      </c>
      <c r="CA864" t="s">
        <v>473</v>
      </c>
      <c r="CC864" t="s">
        <v>157</v>
      </c>
      <c r="CD864">
        <v>7480</v>
      </c>
      <c r="CE864" t="s">
        <v>134</v>
      </c>
      <c r="CF864" s="3">
        <v>46000</v>
      </c>
      <c r="CI864">
        <v>1</v>
      </c>
      <c r="CJ864">
        <v>1</v>
      </c>
      <c r="CK864">
        <v>21</v>
      </c>
      <c r="CL864" t="s">
        <v>87</v>
      </c>
    </row>
    <row r="865" spans="1:90" x14ac:dyDescent="0.3">
      <c r="A865" t="s">
        <v>72</v>
      </c>
      <c r="B865" t="s">
        <v>73</v>
      </c>
      <c r="C865" t="s">
        <v>74</v>
      </c>
      <c r="E865" t="str">
        <f>"080069705821"</f>
        <v>080069705821</v>
      </c>
      <c r="F865" s="3">
        <v>45996</v>
      </c>
      <c r="G865">
        <v>202609</v>
      </c>
      <c r="H865" t="s">
        <v>75</v>
      </c>
      <c r="I865" t="s">
        <v>76</v>
      </c>
      <c r="J865" t="s">
        <v>77</v>
      </c>
      <c r="K865" t="s">
        <v>78</v>
      </c>
      <c r="L865" t="s">
        <v>75</v>
      </c>
      <c r="M865" t="s">
        <v>76</v>
      </c>
      <c r="N865" t="s">
        <v>328</v>
      </c>
      <c r="O865" t="s">
        <v>89</v>
      </c>
      <c r="P865" t="str">
        <f>"4170072051                    "</f>
        <v xml:space="preserve">4170072051                    </v>
      </c>
      <c r="Q865">
        <v>0</v>
      </c>
      <c r="R865">
        <v>0</v>
      </c>
      <c r="S865">
        <v>0</v>
      </c>
      <c r="T865">
        <v>0</v>
      </c>
      <c r="U865">
        <v>0</v>
      </c>
      <c r="V865">
        <v>0</v>
      </c>
      <c r="W865">
        <v>0</v>
      </c>
      <c r="X865">
        <v>0</v>
      </c>
      <c r="Y865">
        <v>0</v>
      </c>
      <c r="Z865">
        <v>0</v>
      </c>
      <c r="AA865">
        <v>0</v>
      </c>
      <c r="AB865">
        <v>0</v>
      </c>
      <c r="AC865">
        <v>0</v>
      </c>
      <c r="AD865">
        <v>0</v>
      </c>
      <c r="AE865">
        <v>0</v>
      </c>
      <c r="AF865">
        <v>0</v>
      </c>
      <c r="AG865">
        <v>0</v>
      </c>
      <c r="AH865">
        <v>0</v>
      </c>
      <c r="AI865">
        <v>0</v>
      </c>
      <c r="AJ865">
        <v>0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19.940000000000001</v>
      </c>
      <c r="AR865">
        <v>0</v>
      </c>
      <c r="AS865">
        <v>0</v>
      </c>
      <c r="AT865">
        <v>0</v>
      </c>
      <c r="AU865">
        <v>0</v>
      </c>
      <c r="AV865">
        <v>0</v>
      </c>
      <c r="AW865">
        <v>0</v>
      </c>
      <c r="AX865">
        <v>0</v>
      </c>
      <c r="AY865">
        <v>0</v>
      </c>
      <c r="AZ865">
        <v>0</v>
      </c>
      <c r="BA865">
        <v>0</v>
      </c>
      <c r="BB865">
        <v>0</v>
      </c>
      <c r="BC865">
        <v>0</v>
      </c>
      <c r="BD865">
        <v>0</v>
      </c>
      <c r="BE865">
        <v>0</v>
      </c>
      <c r="BF865">
        <v>0</v>
      </c>
      <c r="BG865">
        <v>0</v>
      </c>
      <c r="BH865">
        <v>1</v>
      </c>
      <c r="BI865">
        <v>1</v>
      </c>
      <c r="BJ865">
        <v>0.2</v>
      </c>
      <c r="BK865">
        <v>1</v>
      </c>
      <c r="BL865">
        <v>59.42</v>
      </c>
      <c r="BM865">
        <v>8.91</v>
      </c>
      <c r="BN865">
        <v>68.33</v>
      </c>
      <c r="BO865">
        <v>68.33</v>
      </c>
      <c r="BQ865" t="s">
        <v>329</v>
      </c>
      <c r="BR865" t="s">
        <v>82</v>
      </c>
      <c r="BS865" s="3">
        <v>46000</v>
      </c>
      <c r="BT865" s="4">
        <v>0.45</v>
      </c>
      <c r="BU865" t="s">
        <v>1647</v>
      </c>
      <c r="BV865" t="s">
        <v>87</v>
      </c>
      <c r="BW865" t="s">
        <v>186</v>
      </c>
      <c r="BX865" t="s">
        <v>700</v>
      </c>
      <c r="BY865">
        <v>1200</v>
      </c>
      <c r="CA865" t="s">
        <v>331</v>
      </c>
      <c r="CC865" t="s">
        <v>76</v>
      </c>
      <c r="CD865">
        <v>1645</v>
      </c>
      <c r="CE865" t="s">
        <v>134</v>
      </c>
      <c r="CF865" s="3">
        <v>46000</v>
      </c>
      <c r="CI865">
        <v>1</v>
      </c>
      <c r="CJ865">
        <v>2</v>
      </c>
      <c r="CK865">
        <v>22</v>
      </c>
      <c r="CL865" t="s">
        <v>87</v>
      </c>
    </row>
    <row r="866" spans="1:90" x14ac:dyDescent="0.3">
      <c r="A866" t="s">
        <v>72</v>
      </c>
      <c r="B866" t="s">
        <v>73</v>
      </c>
      <c r="C866" t="s">
        <v>74</v>
      </c>
      <c r="E866" t="str">
        <f>"080069705829"</f>
        <v>080069705829</v>
      </c>
      <c r="F866" s="3">
        <v>45996</v>
      </c>
      <c r="G866">
        <v>202609</v>
      </c>
      <c r="H866" t="s">
        <v>75</v>
      </c>
      <c r="I866" t="s">
        <v>76</v>
      </c>
      <c r="J866" t="s">
        <v>77</v>
      </c>
      <c r="K866" t="s">
        <v>78</v>
      </c>
      <c r="L866" t="s">
        <v>535</v>
      </c>
      <c r="M866" t="s">
        <v>535</v>
      </c>
      <c r="N866" t="s">
        <v>556</v>
      </c>
      <c r="O866" t="s">
        <v>89</v>
      </c>
      <c r="P866" t="str">
        <f>"4170072180                    "</f>
        <v xml:space="preserve">4170072180                    </v>
      </c>
      <c r="Q866">
        <v>0</v>
      </c>
      <c r="R866">
        <v>0</v>
      </c>
      <c r="S866">
        <v>0</v>
      </c>
      <c r="T866">
        <v>0</v>
      </c>
      <c r="U866">
        <v>0</v>
      </c>
      <c r="V866">
        <v>0</v>
      </c>
      <c r="W866">
        <v>0</v>
      </c>
      <c r="X866">
        <v>0</v>
      </c>
      <c r="Y866">
        <v>0</v>
      </c>
      <c r="Z866">
        <v>0</v>
      </c>
      <c r="AA866">
        <v>0</v>
      </c>
      <c r="AB866">
        <v>0</v>
      </c>
      <c r="AC866">
        <v>0</v>
      </c>
      <c r="AD866">
        <v>0</v>
      </c>
      <c r="AE866">
        <v>0</v>
      </c>
      <c r="AF866">
        <v>0</v>
      </c>
      <c r="AG866">
        <v>0</v>
      </c>
      <c r="AH866">
        <v>0</v>
      </c>
      <c r="AI866">
        <v>0</v>
      </c>
      <c r="AJ866">
        <v>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49.45</v>
      </c>
      <c r="AR866">
        <v>0</v>
      </c>
      <c r="AS866">
        <v>0</v>
      </c>
      <c r="AT866">
        <v>0</v>
      </c>
      <c r="AU866">
        <v>0</v>
      </c>
      <c r="AV866">
        <v>0</v>
      </c>
      <c r="AW866">
        <v>0</v>
      </c>
      <c r="AX866">
        <v>0</v>
      </c>
      <c r="AY866">
        <v>0</v>
      </c>
      <c r="AZ866">
        <v>0</v>
      </c>
      <c r="BA866">
        <v>0</v>
      </c>
      <c r="BB866">
        <v>0</v>
      </c>
      <c r="BC866">
        <v>0</v>
      </c>
      <c r="BD866">
        <v>0</v>
      </c>
      <c r="BE866">
        <v>0</v>
      </c>
      <c r="BF866">
        <v>0</v>
      </c>
      <c r="BG866">
        <v>0</v>
      </c>
      <c r="BH866">
        <v>1</v>
      </c>
      <c r="BI866">
        <v>1</v>
      </c>
      <c r="BJ866">
        <v>1.1000000000000001</v>
      </c>
      <c r="BK866">
        <v>1.5</v>
      </c>
      <c r="BL866">
        <v>147.38</v>
      </c>
      <c r="BM866">
        <v>22.11</v>
      </c>
      <c r="BN866">
        <v>169.49</v>
      </c>
      <c r="BO866">
        <v>169.49</v>
      </c>
      <c r="BQ866" t="s">
        <v>1238</v>
      </c>
      <c r="BR866" t="s">
        <v>82</v>
      </c>
      <c r="BS866" s="3">
        <v>45999</v>
      </c>
      <c r="BT866" s="4">
        <v>0.53611111111111109</v>
      </c>
      <c r="BU866" t="s">
        <v>558</v>
      </c>
      <c r="BV866" t="s">
        <v>84</v>
      </c>
      <c r="BY866">
        <v>5320</v>
      </c>
      <c r="CA866" t="s">
        <v>539</v>
      </c>
      <c r="CC866" t="s">
        <v>535</v>
      </c>
      <c r="CD866">
        <v>7646</v>
      </c>
      <c r="CE866" t="s">
        <v>86</v>
      </c>
      <c r="CF866" s="3">
        <v>46000</v>
      </c>
      <c r="CI866">
        <v>1</v>
      </c>
      <c r="CJ866">
        <v>1</v>
      </c>
      <c r="CK866">
        <v>23</v>
      </c>
      <c r="CL866" t="s">
        <v>87</v>
      </c>
    </row>
    <row r="867" spans="1:90" x14ac:dyDescent="0.3">
      <c r="A867" t="s">
        <v>72</v>
      </c>
      <c r="B867" t="s">
        <v>73</v>
      </c>
      <c r="C867" t="s">
        <v>74</v>
      </c>
      <c r="E867" t="str">
        <f>"080069705849"</f>
        <v>080069705849</v>
      </c>
      <c r="F867" s="3">
        <v>45996</v>
      </c>
      <c r="G867">
        <v>202609</v>
      </c>
      <c r="H867" t="s">
        <v>75</v>
      </c>
      <c r="I867" t="s">
        <v>76</v>
      </c>
      <c r="J867" t="s">
        <v>77</v>
      </c>
      <c r="K867" t="s">
        <v>78</v>
      </c>
      <c r="L867" t="s">
        <v>283</v>
      </c>
      <c r="M867" t="s">
        <v>284</v>
      </c>
      <c r="N867" t="s">
        <v>285</v>
      </c>
      <c r="O867" t="s">
        <v>89</v>
      </c>
      <c r="P867" t="str">
        <f>"4170072234                    "</f>
        <v xml:space="preserve">4170072234                    </v>
      </c>
      <c r="Q867">
        <v>0</v>
      </c>
      <c r="R867">
        <v>0</v>
      </c>
      <c r="S867">
        <v>0</v>
      </c>
      <c r="T867">
        <v>0</v>
      </c>
      <c r="U867">
        <v>0</v>
      </c>
      <c r="V867">
        <v>0</v>
      </c>
      <c r="W867">
        <v>0</v>
      </c>
      <c r="X867">
        <v>0</v>
      </c>
      <c r="Y867">
        <v>0</v>
      </c>
      <c r="Z867">
        <v>0</v>
      </c>
      <c r="AA867">
        <v>0</v>
      </c>
      <c r="AB867">
        <v>0</v>
      </c>
      <c r="AC867">
        <v>0</v>
      </c>
      <c r="AD867">
        <v>0</v>
      </c>
      <c r="AE867">
        <v>0</v>
      </c>
      <c r="AF867">
        <v>0</v>
      </c>
      <c r="AG867">
        <v>0</v>
      </c>
      <c r="AH867">
        <v>0</v>
      </c>
      <c r="AI867">
        <v>0</v>
      </c>
      <c r="AJ867">
        <v>0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49.45</v>
      </c>
      <c r="AR867">
        <v>0</v>
      </c>
      <c r="AS867">
        <v>0</v>
      </c>
      <c r="AT867">
        <v>0</v>
      </c>
      <c r="AU867">
        <v>0</v>
      </c>
      <c r="AV867">
        <v>0</v>
      </c>
      <c r="AW867">
        <v>0</v>
      </c>
      <c r="AX867">
        <v>0</v>
      </c>
      <c r="AY867">
        <v>0</v>
      </c>
      <c r="AZ867">
        <v>0</v>
      </c>
      <c r="BA867">
        <v>0</v>
      </c>
      <c r="BB867">
        <v>0</v>
      </c>
      <c r="BC867">
        <v>0</v>
      </c>
      <c r="BD867">
        <v>0</v>
      </c>
      <c r="BE867">
        <v>0</v>
      </c>
      <c r="BF867">
        <v>0</v>
      </c>
      <c r="BG867">
        <v>0</v>
      </c>
      <c r="BH867">
        <v>1</v>
      </c>
      <c r="BI867">
        <v>1</v>
      </c>
      <c r="BJ867">
        <v>1.1000000000000001</v>
      </c>
      <c r="BK867">
        <v>1.5</v>
      </c>
      <c r="BL867">
        <v>147.38</v>
      </c>
      <c r="BM867">
        <v>22.11</v>
      </c>
      <c r="BN867">
        <v>169.49</v>
      </c>
      <c r="BO867">
        <v>169.49</v>
      </c>
      <c r="BQ867" t="s">
        <v>286</v>
      </c>
      <c r="BR867" t="s">
        <v>82</v>
      </c>
      <c r="BS867" s="3">
        <v>45999</v>
      </c>
      <c r="BT867" s="4">
        <v>0.40902777777777777</v>
      </c>
      <c r="BU867" t="s">
        <v>287</v>
      </c>
      <c r="BV867" t="s">
        <v>84</v>
      </c>
      <c r="BY867">
        <v>5320</v>
      </c>
      <c r="CA867">
        <v>8505285566089</v>
      </c>
      <c r="CC867" t="s">
        <v>284</v>
      </c>
      <c r="CD867">
        <v>1947</v>
      </c>
      <c r="CE867" t="s">
        <v>86</v>
      </c>
      <c r="CF867" s="3">
        <v>46000</v>
      </c>
      <c r="CI867">
        <v>1</v>
      </c>
      <c r="CJ867">
        <v>1</v>
      </c>
      <c r="CK867">
        <v>23</v>
      </c>
      <c r="CL867" t="s">
        <v>87</v>
      </c>
    </row>
    <row r="868" spans="1:90" x14ac:dyDescent="0.3">
      <c r="A868" t="s">
        <v>72</v>
      </c>
      <c r="B868" t="s">
        <v>73</v>
      </c>
      <c r="C868" t="s">
        <v>74</v>
      </c>
      <c r="E868" t="str">
        <f>"080069705846"</f>
        <v>080069705846</v>
      </c>
      <c r="F868" s="3">
        <v>45996</v>
      </c>
      <c r="G868">
        <v>202609</v>
      </c>
      <c r="H868" t="s">
        <v>75</v>
      </c>
      <c r="I868" t="s">
        <v>76</v>
      </c>
      <c r="J868" t="s">
        <v>77</v>
      </c>
      <c r="K868" t="s">
        <v>78</v>
      </c>
      <c r="L868" t="s">
        <v>302</v>
      </c>
      <c r="M868" t="s">
        <v>303</v>
      </c>
      <c r="N868" t="s">
        <v>887</v>
      </c>
      <c r="O868" t="s">
        <v>89</v>
      </c>
      <c r="P868" t="str">
        <f>"4170072192                    "</f>
        <v xml:space="preserve">4170072192                    </v>
      </c>
      <c r="Q868">
        <v>0</v>
      </c>
      <c r="R868">
        <v>0</v>
      </c>
      <c r="S868">
        <v>0</v>
      </c>
      <c r="T868">
        <v>0</v>
      </c>
      <c r="U868">
        <v>0</v>
      </c>
      <c r="V868">
        <v>0</v>
      </c>
      <c r="W868">
        <v>0</v>
      </c>
      <c r="X868">
        <v>0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0</v>
      </c>
      <c r="AE868">
        <v>0</v>
      </c>
      <c r="AF868">
        <v>0</v>
      </c>
      <c r="AG868">
        <v>0</v>
      </c>
      <c r="AH868">
        <v>0</v>
      </c>
      <c r="AI868">
        <v>0</v>
      </c>
      <c r="AJ868">
        <v>0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25.52</v>
      </c>
      <c r="AR868">
        <v>0</v>
      </c>
      <c r="AS868">
        <v>0</v>
      </c>
      <c r="AT868">
        <v>0</v>
      </c>
      <c r="AU868">
        <v>0</v>
      </c>
      <c r="AV868">
        <v>0</v>
      </c>
      <c r="AW868">
        <v>0</v>
      </c>
      <c r="AX868">
        <v>0</v>
      </c>
      <c r="AY868">
        <v>0</v>
      </c>
      <c r="AZ868">
        <v>0</v>
      </c>
      <c r="BA868">
        <v>0</v>
      </c>
      <c r="BB868">
        <v>0</v>
      </c>
      <c r="BC868">
        <v>0</v>
      </c>
      <c r="BD868">
        <v>0</v>
      </c>
      <c r="BE868">
        <v>0</v>
      </c>
      <c r="BF868">
        <v>0</v>
      </c>
      <c r="BG868">
        <v>0</v>
      </c>
      <c r="BH868">
        <v>1</v>
      </c>
      <c r="BI868">
        <v>1</v>
      </c>
      <c r="BJ868">
        <v>0.2</v>
      </c>
      <c r="BK868">
        <v>1</v>
      </c>
      <c r="BL868">
        <v>76.06</v>
      </c>
      <c r="BM868">
        <v>11.41</v>
      </c>
      <c r="BN868">
        <v>87.47</v>
      </c>
      <c r="BO868">
        <v>87.47</v>
      </c>
      <c r="BQ868" t="s">
        <v>888</v>
      </c>
      <c r="BR868" t="s">
        <v>82</v>
      </c>
      <c r="BS868" s="3">
        <v>45999</v>
      </c>
      <c r="BT868" s="4">
        <v>0.39374999999999999</v>
      </c>
      <c r="BU868" t="s">
        <v>927</v>
      </c>
      <c r="BV868" t="s">
        <v>84</v>
      </c>
      <c r="BY868">
        <v>1200</v>
      </c>
      <c r="CA868">
        <v>8303236124087</v>
      </c>
      <c r="CC868" t="s">
        <v>303</v>
      </c>
      <c r="CD868" s="5" t="s">
        <v>836</v>
      </c>
      <c r="CE868" t="s">
        <v>134</v>
      </c>
      <c r="CF868" s="3">
        <v>45999</v>
      </c>
      <c r="CI868">
        <v>1</v>
      </c>
      <c r="CJ868">
        <v>1</v>
      </c>
      <c r="CK868">
        <v>21</v>
      </c>
      <c r="CL868" t="s">
        <v>87</v>
      </c>
    </row>
    <row r="869" spans="1:90" x14ac:dyDescent="0.3">
      <c r="A869" t="s">
        <v>72</v>
      </c>
      <c r="B869" t="s">
        <v>73</v>
      </c>
      <c r="C869" t="s">
        <v>74</v>
      </c>
      <c r="E869" t="str">
        <f>"080069705879"</f>
        <v>080069705879</v>
      </c>
      <c r="F869" s="3">
        <v>45996</v>
      </c>
      <c r="G869">
        <v>202609</v>
      </c>
      <c r="H869" t="s">
        <v>75</v>
      </c>
      <c r="I869" t="s">
        <v>76</v>
      </c>
      <c r="J869" t="s">
        <v>77</v>
      </c>
      <c r="K869" t="s">
        <v>78</v>
      </c>
      <c r="L869" t="s">
        <v>781</v>
      </c>
      <c r="M869" t="s">
        <v>782</v>
      </c>
      <c r="N869" t="s">
        <v>887</v>
      </c>
      <c r="O869" t="s">
        <v>89</v>
      </c>
      <c r="P869" t="str">
        <f>"4170072185                    "</f>
        <v xml:space="preserve">4170072185                    </v>
      </c>
      <c r="Q869">
        <v>0</v>
      </c>
      <c r="R869">
        <v>0</v>
      </c>
      <c r="S869">
        <v>0</v>
      </c>
      <c r="T869">
        <v>0</v>
      </c>
      <c r="U869">
        <v>0</v>
      </c>
      <c r="V869">
        <v>0</v>
      </c>
      <c r="W869">
        <v>0</v>
      </c>
      <c r="X869">
        <v>0</v>
      </c>
      <c r="Y869">
        <v>0</v>
      </c>
      <c r="Z869">
        <v>0</v>
      </c>
      <c r="AA869">
        <v>0</v>
      </c>
      <c r="AB869">
        <v>0</v>
      </c>
      <c r="AC869">
        <v>0</v>
      </c>
      <c r="AD869">
        <v>0</v>
      </c>
      <c r="AE869">
        <v>0</v>
      </c>
      <c r="AF869">
        <v>0</v>
      </c>
      <c r="AG869">
        <v>0</v>
      </c>
      <c r="AH869">
        <v>0</v>
      </c>
      <c r="AI869">
        <v>0</v>
      </c>
      <c r="AJ869">
        <v>0</v>
      </c>
      <c r="AK869">
        <v>0</v>
      </c>
      <c r="AL869">
        <v>0</v>
      </c>
      <c r="AM869">
        <v>0</v>
      </c>
      <c r="AN869">
        <v>0</v>
      </c>
      <c r="AO869">
        <v>0</v>
      </c>
      <c r="AP869">
        <v>0</v>
      </c>
      <c r="AQ869">
        <v>25.52</v>
      </c>
      <c r="AR869">
        <v>0</v>
      </c>
      <c r="AS869">
        <v>0</v>
      </c>
      <c r="AT869">
        <v>0</v>
      </c>
      <c r="AU869">
        <v>0</v>
      </c>
      <c r="AV869">
        <v>0</v>
      </c>
      <c r="AW869">
        <v>0</v>
      </c>
      <c r="AX869">
        <v>0</v>
      </c>
      <c r="AY869">
        <v>0</v>
      </c>
      <c r="AZ869">
        <v>0</v>
      </c>
      <c r="BA869">
        <v>0</v>
      </c>
      <c r="BB869">
        <v>0</v>
      </c>
      <c r="BC869">
        <v>0</v>
      </c>
      <c r="BD869">
        <v>0</v>
      </c>
      <c r="BE869">
        <v>0</v>
      </c>
      <c r="BF869">
        <v>0</v>
      </c>
      <c r="BG869">
        <v>0</v>
      </c>
      <c r="BH869">
        <v>1</v>
      </c>
      <c r="BI869">
        <v>1</v>
      </c>
      <c r="BJ869">
        <v>0.2</v>
      </c>
      <c r="BK869">
        <v>1</v>
      </c>
      <c r="BL869">
        <v>76.06</v>
      </c>
      <c r="BM869">
        <v>11.41</v>
      </c>
      <c r="BN869">
        <v>87.47</v>
      </c>
      <c r="BO869">
        <v>87.47</v>
      </c>
      <c r="BQ869" t="s">
        <v>888</v>
      </c>
      <c r="BR869" t="s">
        <v>82</v>
      </c>
      <c r="BS869" s="3">
        <v>45999</v>
      </c>
      <c r="BT869" s="4">
        <v>0.58263888888888893</v>
      </c>
      <c r="BU869" t="s">
        <v>1648</v>
      </c>
      <c r="BV869" t="s">
        <v>87</v>
      </c>
      <c r="BW869" t="s">
        <v>246</v>
      </c>
      <c r="BX869" t="s">
        <v>106</v>
      </c>
      <c r="BY869">
        <v>1200</v>
      </c>
      <c r="CA869" t="s">
        <v>630</v>
      </c>
      <c r="CC869" t="s">
        <v>782</v>
      </c>
      <c r="CD869">
        <v>4133</v>
      </c>
      <c r="CE869" t="s">
        <v>134</v>
      </c>
      <c r="CF869" s="3">
        <v>46000</v>
      </c>
      <c r="CI869">
        <v>1</v>
      </c>
      <c r="CJ869">
        <v>1</v>
      </c>
      <c r="CK869">
        <v>21</v>
      </c>
      <c r="CL869" t="s">
        <v>87</v>
      </c>
    </row>
    <row r="870" spans="1:90" x14ac:dyDescent="0.3">
      <c r="A870" t="s">
        <v>72</v>
      </c>
      <c r="B870" t="s">
        <v>73</v>
      </c>
      <c r="C870" t="s">
        <v>74</v>
      </c>
      <c r="E870" t="str">
        <f>"080069705900"</f>
        <v>080069705900</v>
      </c>
      <c r="F870" s="3">
        <v>45996</v>
      </c>
      <c r="G870">
        <v>202609</v>
      </c>
      <c r="H870" t="s">
        <v>75</v>
      </c>
      <c r="I870" t="s">
        <v>76</v>
      </c>
      <c r="J870" t="s">
        <v>77</v>
      </c>
      <c r="K870" t="s">
        <v>78</v>
      </c>
      <c r="L870" t="s">
        <v>100</v>
      </c>
      <c r="M870" t="s">
        <v>101</v>
      </c>
      <c r="N870" t="s">
        <v>102</v>
      </c>
      <c r="O870" t="s">
        <v>89</v>
      </c>
      <c r="P870" t="str">
        <f>"4170072146                    "</f>
        <v xml:space="preserve">4170072146                    </v>
      </c>
      <c r="Q870">
        <v>0</v>
      </c>
      <c r="R870">
        <v>0</v>
      </c>
      <c r="S870">
        <v>0</v>
      </c>
      <c r="T870">
        <v>0</v>
      </c>
      <c r="U870">
        <v>0</v>
      </c>
      <c r="V870">
        <v>0</v>
      </c>
      <c r="W870">
        <v>0</v>
      </c>
      <c r="X870">
        <v>0</v>
      </c>
      <c r="Y870">
        <v>0</v>
      </c>
      <c r="Z870">
        <v>0</v>
      </c>
      <c r="AA870">
        <v>0</v>
      </c>
      <c r="AB870">
        <v>0</v>
      </c>
      <c r="AC870">
        <v>0</v>
      </c>
      <c r="AD870">
        <v>0</v>
      </c>
      <c r="AE870">
        <v>0</v>
      </c>
      <c r="AF870">
        <v>0</v>
      </c>
      <c r="AG870">
        <v>0</v>
      </c>
      <c r="AH870">
        <v>0</v>
      </c>
      <c r="AI870">
        <v>0</v>
      </c>
      <c r="AJ870">
        <v>0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25.52</v>
      </c>
      <c r="AR870">
        <v>0</v>
      </c>
      <c r="AS870">
        <v>0</v>
      </c>
      <c r="AT870">
        <v>0</v>
      </c>
      <c r="AU870">
        <v>0</v>
      </c>
      <c r="AV870">
        <v>0</v>
      </c>
      <c r="AW870">
        <v>0</v>
      </c>
      <c r="AX870">
        <v>0</v>
      </c>
      <c r="AY870">
        <v>0</v>
      </c>
      <c r="AZ870">
        <v>0</v>
      </c>
      <c r="BA870">
        <v>0</v>
      </c>
      <c r="BB870">
        <v>0</v>
      </c>
      <c r="BC870">
        <v>0</v>
      </c>
      <c r="BD870">
        <v>0</v>
      </c>
      <c r="BE870">
        <v>0</v>
      </c>
      <c r="BF870">
        <v>0</v>
      </c>
      <c r="BG870">
        <v>0</v>
      </c>
      <c r="BH870">
        <v>1</v>
      </c>
      <c r="BI870">
        <v>1</v>
      </c>
      <c r="BJ870">
        <v>0.2</v>
      </c>
      <c r="BK870">
        <v>1</v>
      </c>
      <c r="BL870">
        <v>76.06</v>
      </c>
      <c r="BM870">
        <v>11.41</v>
      </c>
      <c r="BN870">
        <v>87.47</v>
      </c>
      <c r="BO870">
        <v>87.47</v>
      </c>
      <c r="BQ870" t="s">
        <v>103</v>
      </c>
      <c r="BR870" t="s">
        <v>82</v>
      </c>
      <c r="BS870" s="3">
        <v>45999</v>
      </c>
      <c r="BT870" s="4">
        <v>0.33333333333333331</v>
      </c>
      <c r="BU870" t="s">
        <v>1534</v>
      </c>
      <c r="BV870" t="s">
        <v>84</v>
      </c>
      <c r="BY870">
        <v>1200</v>
      </c>
      <c r="CA870" t="s">
        <v>107</v>
      </c>
      <c r="CC870" t="s">
        <v>101</v>
      </c>
      <c r="CD870">
        <v>4051</v>
      </c>
      <c r="CE870" t="s">
        <v>134</v>
      </c>
      <c r="CF870" s="3">
        <v>46000</v>
      </c>
      <c r="CI870">
        <v>1</v>
      </c>
      <c r="CJ870">
        <v>1</v>
      </c>
      <c r="CK870">
        <v>21</v>
      </c>
      <c r="CL870" t="s">
        <v>87</v>
      </c>
    </row>
    <row r="871" spans="1:90" x14ac:dyDescent="0.3">
      <c r="A871" t="s">
        <v>72</v>
      </c>
      <c r="B871" t="s">
        <v>73</v>
      </c>
      <c r="C871" t="s">
        <v>74</v>
      </c>
      <c r="E871" t="str">
        <f>"080069705923"</f>
        <v>080069705923</v>
      </c>
      <c r="F871" s="3">
        <v>45996</v>
      </c>
      <c r="G871">
        <v>202609</v>
      </c>
      <c r="H871" t="s">
        <v>75</v>
      </c>
      <c r="I871" t="s">
        <v>76</v>
      </c>
      <c r="J871" t="s">
        <v>77</v>
      </c>
      <c r="K871" t="s">
        <v>78</v>
      </c>
      <c r="L871" t="s">
        <v>176</v>
      </c>
      <c r="M871" t="s">
        <v>177</v>
      </c>
      <c r="N871" t="s">
        <v>1157</v>
      </c>
      <c r="O871" t="s">
        <v>89</v>
      </c>
      <c r="P871" t="str">
        <f>"4170072163                    "</f>
        <v xml:space="preserve">4170072163                    </v>
      </c>
      <c r="Q871">
        <v>0</v>
      </c>
      <c r="R871">
        <v>0</v>
      </c>
      <c r="S871">
        <v>0</v>
      </c>
      <c r="T871">
        <v>0</v>
      </c>
      <c r="U871">
        <v>0</v>
      </c>
      <c r="V871">
        <v>0</v>
      </c>
      <c r="W871">
        <v>0</v>
      </c>
      <c r="X871">
        <v>0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>
        <v>0</v>
      </c>
      <c r="AG871">
        <v>0</v>
      </c>
      <c r="AH871">
        <v>0</v>
      </c>
      <c r="AI871">
        <v>0</v>
      </c>
      <c r="AJ871">
        <v>0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19.940000000000001</v>
      </c>
      <c r="AR871">
        <v>0</v>
      </c>
      <c r="AS871">
        <v>0</v>
      </c>
      <c r="AT871">
        <v>0</v>
      </c>
      <c r="AU871">
        <v>0</v>
      </c>
      <c r="AV871">
        <v>0</v>
      </c>
      <c r="AW871">
        <v>0</v>
      </c>
      <c r="AX871">
        <v>0</v>
      </c>
      <c r="AY871">
        <v>0</v>
      </c>
      <c r="AZ871">
        <v>0</v>
      </c>
      <c r="BA871">
        <v>0</v>
      </c>
      <c r="BB871">
        <v>0</v>
      </c>
      <c r="BC871">
        <v>0</v>
      </c>
      <c r="BD871">
        <v>0</v>
      </c>
      <c r="BE871">
        <v>0</v>
      </c>
      <c r="BF871">
        <v>0</v>
      </c>
      <c r="BG871">
        <v>0</v>
      </c>
      <c r="BH871">
        <v>1</v>
      </c>
      <c r="BI871">
        <v>1</v>
      </c>
      <c r="BJ871">
        <v>0.2</v>
      </c>
      <c r="BK871">
        <v>1</v>
      </c>
      <c r="BL871">
        <v>59.42</v>
      </c>
      <c r="BM871">
        <v>8.91</v>
      </c>
      <c r="BN871">
        <v>68.33</v>
      </c>
      <c r="BO871">
        <v>68.33</v>
      </c>
      <c r="BQ871" t="s">
        <v>1158</v>
      </c>
      <c r="BR871" t="s">
        <v>82</v>
      </c>
      <c r="BS871" s="3">
        <v>45999</v>
      </c>
      <c r="BT871" s="4">
        <v>0.33680555555555558</v>
      </c>
      <c r="BU871" t="s">
        <v>1649</v>
      </c>
      <c r="BV871" t="s">
        <v>84</v>
      </c>
      <c r="BY871">
        <v>1200</v>
      </c>
      <c r="CA871" t="s">
        <v>1650</v>
      </c>
      <c r="CC871" t="s">
        <v>177</v>
      </c>
      <c r="CD871">
        <v>2040</v>
      </c>
      <c r="CE871" t="s">
        <v>134</v>
      </c>
      <c r="CF871" s="3">
        <v>45999</v>
      </c>
      <c r="CI871">
        <v>1</v>
      </c>
      <c r="CJ871">
        <v>1</v>
      </c>
      <c r="CK871">
        <v>22</v>
      </c>
      <c r="CL871" t="s">
        <v>87</v>
      </c>
    </row>
    <row r="872" spans="1:90" x14ac:dyDescent="0.3">
      <c r="A872" t="s">
        <v>72</v>
      </c>
      <c r="B872" t="s">
        <v>73</v>
      </c>
      <c r="C872" t="s">
        <v>74</v>
      </c>
      <c r="E872" t="str">
        <f>"080069705951"</f>
        <v>080069705951</v>
      </c>
      <c r="F872" s="3">
        <v>45996</v>
      </c>
      <c r="G872">
        <v>202609</v>
      </c>
      <c r="H872" t="s">
        <v>75</v>
      </c>
      <c r="I872" t="s">
        <v>76</v>
      </c>
      <c r="J872" t="s">
        <v>77</v>
      </c>
      <c r="K872" t="s">
        <v>78</v>
      </c>
      <c r="L872" t="s">
        <v>465</v>
      </c>
      <c r="M872" t="s">
        <v>466</v>
      </c>
      <c r="N872" t="s">
        <v>738</v>
      </c>
      <c r="O872" t="s">
        <v>89</v>
      </c>
      <c r="P872" t="str">
        <f>"4170072154                    "</f>
        <v xml:space="preserve">4170072154                    </v>
      </c>
      <c r="Q872">
        <v>0</v>
      </c>
      <c r="R872">
        <v>0</v>
      </c>
      <c r="S872">
        <v>0</v>
      </c>
      <c r="T872">
        <v>0</v>
      </c>
      <c r="U872">
        <v>0</v>
      </c>
      <c r="V872">
        <v>0</v>
      </c>
      <c r="W872">
        <v>0</v>
      </c>
      <c r="X872">
        <v>0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>
        <v>0</v>
      </c>
      <c r="AG872">
        <v>0</v>
      </c>
      <c r="AH872">
        <v>0</v>
      </c>
      <c r="AI872">
        <v>0</v>
      </c>
      <c r="AJ872">
        <v>0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19.940000000000001</v>
      </c>
      <c r="AR872">
        <v>0</v>
      </c>
      <c r="AS872">
        <v>0</v>
      </c>
      <c r="AT872">
        <v>0</v>
      </c>
      <c r="AU872">
        <v>0</v>
      </c>
      <c r="AV872">
        <v>0</v>
      </c>
      <c r="AW872">
        <v>0</v>
      </c>
      <c r="AX872">
        <v>0</v>
      </c>
      <c r="AY872">
        <v>0</v>
      </c>
      <c r="AZ872">
        <v>0</v>
      </c>
      <c r="BA872">
        <v>0</v>
      </c>
      <c r="BB872">
        <v>0</v>
      </c>
      <c r="BC872">
        <v>0</v>
      </c>
      <c r="BD872">
        <v>0</v>
      </c>
      <c r="BE872">
        <v>0</v>
      </c>
      <c r="BF872">
        <v>0</v>
      </c>
      <c r="BG872">
        <v>0</v>
      </c>
      <c r="BH872">
        <v>1</v>
      </c>
      <c r="BI872">
        <v>1</v>
      </c>
      <c r="BJ872">
        <v>0.2</v>
      </c>
      <c r="BK872">
        <v>1</v>
      </c>
      <c r="BL872">
        <v>59.42</v>
      </c>
      <c r="BM872">
        <v>8.91</v>
      </c>
      <c r="BN872">
        <v>68.33</v>
      </c>
      <c r="BO872">
        <v>68.33</v>
      </c>
      <c r="BQ872" t="s">
        <v>739</v>
      </c>
      <c r="BR872" t="s">
        <v>82</v>
      </c>
      <c r="BS872" s="3">
        <v>45999</v>
      </c>
      <c r="BT872" s="4">
        <v>0.40277777777777779</v>
      </c>
      <c r="BU872" t="s">
        <v>1651</v>
      </c>
      <c r="BV872" t="s">
        <v>84</v>
      </c>
      <c r="BY872">
        <v>1200</v>
      </c>
      <c r="CA872" t="s">
        <v>727</v>
      </c>
      <c r="CC872" t="s">
        <v>466</v>
      </c>
      <c r="CD872">
        <v>1428</v>
      </c>
      <c r="CE872" t="s">
        <v>134</v>
      </c>
      <c r="CF872" s="3">
        <v>45999</v>
      </c>
      <c r="CI872">
        <v>1</v>
      </c>
      <c r="CJ872">
        <v>1</v>
      </c>
      <c r="CK872">
        <v>22</v>
      </c>
      <c r="CL872" t="s">
        <v>87</v>
      </c>
    </row>
    <row r="873" spans="1:90" x14ac:dyDescent="0.3">
      <c r="A873" t="s">
        <v>72</v>
      </c>
      <c r="B873" t="s">
        <v>73</v>
      </c>
      <c r="C873" t="s">
        <v>74</v>
      </c>
      <c r="E873" t="str">
        <f>"080069705973"</f>
        <v>080069705973</v>
      </c>
      <c r="F873" s="3">
        <v>45996</v>
      </c>
      <c r="G873">
        <v>202609</v>
      </c>
      <c r="H873" t="s">
        <v>75</v>
      </c>
      <c r="I873" t="s">
        <v>76</v>
      </c>
      <c r="J873" t="s">
        <v>77</v>
      </c>
      <c r="K873" t="s">
        <v>78</v>
      </c>
      <c r="L873" t="s">
        <v>1595</v>
      </c>
      <c r="M873" t="s">
        <v>1596</v>
      </c>
      <c r="N873" t="s">
        <v>249</v>
      </c>
      <c r="O873" t="s">
        <v>89</v>
      </c>
      <c r="P873" t="str">
        <f>"4170072055                    "</f>
        <v xml:space="preserve">4170072055                    </v>
      </c>
      <c r="Q873">
        <v>0</v>
      </c>
      <c r="R873">
        <v>0</v>
      </c>
      <c r="S873">
        <v>0</v>
      </c>
      <c r="T873">
        <v>0</v>
      </c>
      <c r="U873">
        <v>0</v>
      </c>
      <c r="V873">
        <v>0</v>
      </c>
      <c r="W873">
        <v>0</v>
      </c>
      <c r="X873">
        <v>0</v>
      </c>
      <c r="Y873">
        <v>0</v>
      </c>
      <c r="Z873">
        <v>0</v>
      </c>
      <c r="AA873">
        <v>0</v>
      </c>
      <c r="AB873">
        <v>0</v>
      </c>
      <c r="AC873">
        <v>0</v>
      </c>
      <c r="AD873">
        <v>0</v>
      </c>
      <c r="AE873">
        <v>0</v>
      </c>
      <c r="AF873">
        <v>0</v>
      </c>
      <c r="AG873">
        <v>0</v>
      </c>
      <c r="AH873">
        <v>0</v>
      </c>
      <c r="AI873">
        <v>0</v>
      </c>
      <c r="AJ873">
        <v>0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25.52</v>
      </c>
      <c r="AR873">
        <v>0</v>
      </c>
      <c r="AS873">
        <v>0</v>
      </c>
      <c r="AT873">
        <v>0</v>
      </c>
      <c r="AU873">
        <v>0</v>
      </c>
      <c r="AV873">
        <v>0</v>
      </c>
      <c r="AW873">
        <v>0</v>
      </c>
      <c r="AX873">
        <v>0</v>
      </c>
      <c r="AY873">
        <v>0</v>
      </c>
      <c r="AZ873">
        <v>0</v>
      </c>
      <c r="BA873">
        <v>0</v>
      </c>
      <c r="BB873">
        <v>0</v>
      </c>
      <c r="BC873">
        <v>0</v>
      </c>
      <c r="BD873">
        <v>0</v>
      </c>
      <c r="BE873">
        <v>0</v>
      </c>
      <c r="BF873">
        <v>0</v>
      </c>
      <c r="BG873">
        <v>0</v>
      </c>
      <c r="BH873">
        <v>1</v>
      </c>
      <c r="BI873">
        <v>1.2</v>
      </c>
      <c r="BJ873">
        <v>1.3</v>
      </c>
      <c r="BK873">
        <v>1.5</v>
      </c>
      <c r="BL873">
        <v>76.06</v>
      </c>
      <c r="BM873">
        <v>11.41</v>
      </c>
      <c r="BN873">
        <v>87.47</v>
      </c>
      <c r="BO873">
        <v>87.47</v>
      </c>
      <c r="BQ873" t="s">
        <v>250</v>
      </c>
      <c r="BR873" t="s">
        <v>82</v>
      </c>
      <c r="BS873" s="3">
        <v>45999</v>
      </c>
      <c r="BT873" s="4">
        <v>0.39652777777777776</v>
      </c>
      <c r="BU873" t="s">
        <v>1597</v>
      </c>
      <c r="BV873" t="s">
        <v>84</v>
      </c>
      <c r="BY873">
        <v>6262.2</v>
      </c>
      <c r="CA873" t="s">
        <v>1598</v>
      </c>
      <c r="CC873" t="s">
        <v>1596</v>
      </c>
      <c r="CD873" s="5" t="s">
        <v>1599</v>
      </c>
      <c r="CE873" t="s">
        <v>86</v>
      </c>
      <c r="CF873" s="3">
        <v>45999</v>
      </c>
      <c r="CI873">
        <v>1</v>
      </c>
      <c r="CJ873">
        <v>1</v>
      </c>
      <c r="CK873">
        <v>21</v>
      </c>
      <c r="CL873" t="s">
        <v>87</v>
      </c>
    </row>
    <row r="874" spans="1:90" x14ac:dyDescent="0.3">
      <c r="A874" t="s">
        <v>72</v>
      </c>
      <c r="B874" t="s">
        <v>73</v>
      </c>
      <c r="C874" t="s">
        <v>74</v>
      </c>
      <c r="E874" t="str">
        <f>"080069706010"</f>
        <v>080069706010</v>
      </c>
      <c r="F874" s="3">
        <v>45996</v>
      </c>
      <c r="G874">
        <v>202609</v>
      </c>
      <c r="H874" t="s">
        <v>75</v>
      </c>
      <c r="I874" t="s">
        <v>76</v>
      </c>
      <c r="J874" t="s">
        <v>77</v>
      </c>
      <c r="K874" t="s">
        <v>78</v>
      </c>
      <c r="L874" t="s">
        <v>1137</v>
      </c>
      <c r="M874" t="s">
        <v>1310</v>
      </c>
      <c r="N874" t="s">
        <v>1311</v>
      </c>
      <c r="O874" t="s">
        <v>89</v>
      </c>
      <c r="P874" t="str">
        <f>"4170072106                    "</f>
        <v xml:space="preserve">4170072106                    </v>
      </c>
      <c r="Q874">
        <v>0</v>
      </c>
      <c r="R874">
        <v>0</v>
      </c>
      <c r="S874">
        <v>0</v>
      </c>
      <c r="T874">
        <v>0</v>
      </c>
      <c r="U874">
        <v>0</v>
      </c>
      <c r="V874">
        <v>0</v>
      </c>
      <c r="W874">
        <v>0</v>
      </c>
      <c r="X874">
        <v>0</v>
      </c>
      <c r="Y874">
        <v>0</v>
      </c>
      <c r="Z874">
        <v>0</v>
      </c>
      <c r="AA874">
        <v>0</v>
      </c>
      <c r="AB874">
        <v>0</v>
      </c>
      <c r="AC874">
        <v>0</v>
      </c>
      <c r="AD874">
        <v>0</v>
      </c>
      <c r="AE874">
        <v>0</v>
      </c>
      <c r="AF874">
        <v>0</v>
      </c>
      <c r="AG874">
        <v>0</v>
      </c>
      <c r="AH874">
        <v>0</v>
      </c>
      <c r="AI874">
        <v>0</v>
      </c>
      <c r="AJ874">
        <v>0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49.45</v>
      </c>
      <c r="AR874">
        <v>0</v>
      </c>
      <c r="AS874">
        <v>0</v>
      </c>
      <c r="AT874">
        <v>0</v>
      </c>
      <c r="AU874">
        <v>0</v>
      </c>
      <c r="AV874">
        <v>0</v>
      </c>
      <c r="AW874">
        <v>0</v>
      </c>
      <c r="AX874">
        <v>0</v>
      </c>
      <c r="AY874">
        <v>0</v>
      </c>
      <c r="AZ874">
        <v>0</v>
      </c>
      <c r="BA874">
        <v>0</v>
      </c>
      <c r="BB874">
        <v>0</v>
      </c>
      <c r="BC874">
        <v>0</v>
      </c>
      <c r="BD874">
        <v>0</v>
      </c>
      <c r="BE874">
        <v>0</v>
      </c>
      <c r="BF874">
        <v>0</v>
      </c>
      <c r="BG874">
        <v>0</v>
      </c>
      <c r="BH874">
        <v>1</v>
      </c>
      <c r="BI874">
        <v>1.8</v>
      </c>
      <c r="BJ874">
        <v>0.9</v>
      </c>
      <c r="BK874">
        <v>2</v>
      </c>
      <c r="BL874">
        <v>147.38</v>
      </c>
      <c r="BM874">
        <v>22.11</v>
      </c>
      <c r="BN874">
        <v>169.49</v>
      </c>
      <c r="BO874">
        <v>169.49</v>
      </c>
      <c r="BQ874" t="s">
        <v>1312</v>
      </c>
      <c r="BR874" t="s">
        <v>82</v>
      </c>
      <c r="BS874" s="3">
        <v>45999</v>
      </c>
      <c r="BT874" s="4">
        <v>0.71527777777777779</v>
      </c>
      <c r="BU874" t="s">
        <v>1313</v>
      </c>
      <c r="BV874" t="s">
        <v>84</v>
      </c>
      <c r="BY874">
        <v>4719</v>
      </c>
      <c r="CC874" t="s">
        <v>1310</v>
      </c>
      <c r="CD874">
        <v>8405</v>
      </c>
      <c r="CE874" t="s">
        <v>86</v>
      </c>
      <c r="CF874" s="3">
        <v>46000</v>
      </c>
      <c r="CI874">
        <v>5</v>
      </c>
      <c r="CJ874">
        <v>1</v>
      </c>
      <c r="CK874">
        <v>23</v>
      </c>
      <c r="CL874" t="s">
        <v>87</v>
      </c>
    </row>
    <row r="875" spans="1:90" x14ac:dyDescent="0.3">
      <c r="A875" t="s">
        <v>72</v>
      </c>
      <c r="B875" t="s">
        <v>73</v>
      </c>
      <c r="C875" t="s">
        <v>74</v>
      </c>
      <c r="E875" t="str">
        <f>"080069706041"</f>
        <v>080069706041</v>
      </c>
      <c r="F875" s="3">
        <v>45996</v>
      </c>
      <c r="G875">
        <v>202609</v>
      </c>
      <c r="H875" t="s">
        <v>75</v>
      </c>
      <c r="I875" t="s">
        <v>76</v>
      </c>
      <c r="J875" t="s">
        <v>77</v>
      </c>
      <c r="K875" t="s">
        <v>78</v>
      </c>
      <c r="L875" t="s">
        <v>94</v>
      </c>
      <c r="M875" t="s">
        <v>95</v>
      </c>
      <c r="N875" t="s">
        <v>96</v>
      </c>
      <c r="O875" t="s">
        <v>89</v>
      </c>
      <c r="P875" t="str">
        <f>"4170072167                    "</f>
        <v xml:space="preserve">4170072167                    </v>
      </c>
      <c r="Q875">
        <v>0</v>
      </c>
      <c r="R875">
        <v>0</v>
      </c>
      <c r="S875">
        <v>0</v>
      </c>
      <c r="T875">
        <v>0</v>
      </c>
      <c r="U875">
        <v>0</v>
      </c>
      <c r="V875">
        <v>0</v>
      </c>
      <c r="W875">
        <v>0</v>
      </c>
      <c r="X875">
        <v>0</v>
      </c>
      <c r="Y875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0</v>
      </c>
      <c r="AF875">
        <v>0</v>
      </c>
      <c r="AG875">
        <v>0</v>
      </c>
      <c r="AH875">
        <v>0</v>
      </c>
      <c r="AI875">
        <v>0</v>
      </c>
      <c r="AJ875">
        <v>0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25.52</v>
      </c>
      <c r="AR875">
        <v>0</v>
      </c>
      <c r="AS875">
        <v>0</v>
      </c>
      <c r="AT875">
        <v>0</v>
      </c>
      <c r="AU875">
        <v>0</v>
      </c>
      <c r="AV875">
        <v>0</v>
      </c>
      <c r="AW875">
        <v>0</v>
      </c>
      <c r="AX875">
        <v>0</v>
      </c>
      <c r="AY875">
        <v>0</v>
      </c>
      <c r="AZ875">
        <v>0</v>
      </c>
      <c r="BA875">
        <v>0</v>
      </c>
      <c r="BB875">
        <v>0</v>
      </c>
      <c r="BC875">
        <v>0</v>
      </c>
      <c r="BD875">
        <v>0</v>
      </c>
      <c r="BE875">
        <v>0</v>
      </c>
      <c r="BF875">
        <v>0</v>
      </c>
      <c r="BG875">
        <v>0</v>
      </c>
      <c r="BH875">
        <v>1</v>
      </c>
      <c r="BI875">
        <v>1.5</v>
      </c>
      <c r="BJ875">
        <v>1.3</v>
      </c>
      <c r="BK875">
        <v>1.5</v>
      </c>
      <c r="BL875">
        <v>76.06</v>
      </c>
      <c r="BM875">
        <v>11.41</v>
      </c>
      <c r="BN875">
        <v>87.47</v>
      </c>
      <c r="BO875">
        <v>87.47</v>
      </c>
      <c r="BQ875" t="s">
        <v>1015</v>
      </c>
      <c r="BR875" t="s">
        <v>82</v>
      </c>
      <c r="BS875" s="3">
        <v>45999</v>
      </c>
      <c r="BT875" s="4">
        <v>0.40833333333333333</v>
      </c>
      <c r="BU875" t="s">
        <v>98</v>
      </c>
      <c r="BV875" t="s">
        <v>84</v>
      </c>
      <c r="BY875">
        <v>6732.27</v>
      </c>
      <c r="CA875" t="s">
        <v>99</v>
      </c>
      <c r="CC875" t="s">
        <v>95</v>
      </c>
      <c r="CD875">
        <v>3610</v>
      </c>
      <c r="CE875" t="s">
        <v>86</v>
      </c>
      <c r="CF875" s="3">
        <v>45999</v>
      </c>
      <c r="CI875">
        <v>1</v>
      </c>
      <c r="CJ875">
        <v>1</v>
      </c>
      <c r="CK875">
        <v>21</v>
      </c>
      <c r="CL875" t="s">
        <v>87</v>
      </c>
    </row>
    <row r="876" spans="1:90" x14ac:dyDescent="0.3">
      <c r="A876" t="s">
        <v>72</v>
      </c>
      <c r="B876" t="s">
        <v>73</v>
      </c>
      <c r="C876" t="s">
        <v>74</v>
      </c>
      <c r="E876" t="str">
        <f>"080069706055"</f>
        <v>080069706055</v>
      </c>
      <c r="F876" s="3">
        <v>45996</v>
      </c>
      <c r="G876">
        <v>202609</v>
      </c>
      <c r="H876" t="s">
        <v>75</v>
      </c>
      <c r="I876" t="s">
        <v>76</v>
      </c>
      <c r="J876" t="s">
        <v>77</v>
      </c>
      <c r="K876" t="s">
        <v>78</v>
      </c>
      <c r="L876" t="s">
        <v>94</v>
      </c>
      <c r="M876" t="s">
        <v>95</v>
      </c>
      <c r="N876" t="s">
        <v>238</v>
      </c>
      <c r="O876" t="s">
        <v>89</v>
      </c>
      <c r="P876" t="str">
        <f>"4170072223                    "</f>
        <v xml:space="preserve">4170072223                    </v>
      </c>
      <c r="Q876">
        <v>0</v>
      </c>
      <c r="R876">
        <v>0</v>
      </c>
      <c r="S876">
        <v>0</v>
      </c>
      <c r="T876">
        <v>0</v>
      </c>
      <c r="U876">
        <v>0</v>
      </c>
      <c r="V876">
        <v>0</v>
      </c>
      <c r="W876">
        <v>0</v>
      </c>
      <c r="X876">
        <v>0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0</v>
      </c>
      <c r="AE876">
        <v>0</v>
      </c>
      <c r="AF876">
        <v>0</v>
      </c>
      <c r="AG876">
        <v>0</v>
      </c>
      <c r="AH876">
        <v>0</v>
      </c>
      <c r="AI876">
        <v>0</v>
      </c>
      <c r="AJ876">
        <v>0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25.52</v>
      </c>
      <c r="AR876">
        <v>0</v>
      </c>
      <c r="AS876">
        <v>0</v>
      </c>
      <c r="AT876">
        <v>0</v>
      </c>
      <c r="AU876">
        <v>0</v>
      </c>
      <c r="AV876">
        <v>0</v>
      </c>
      <c r="AW876">
        <v>0</v>
      </c>
      <c r="AX876">
        <v>0</v>
      </c>
      <c r="AY876">
        <v>0</v>
      </c>
      <c r="AZ876">
        <v>0</v>
      </c>
      <c r="BA876">
        <v>0</v>
      </c>
      <c r="BB876">
        <v>0</v>
      </c>
      <c r="BC876">
        <v>0</v>
      </c>
      <c r="BD876">
        <v>0</v>
      </c>
      <c r="BE876">
        <v>0</v>
      </c>
      <c r="BF876">
        <v>0</v>
      </c>
      <c r="BG876">
        <v>0</v>
      </c>
      <c r="BH876">
        <v>1</v>
      </c>
      <c r="BI876">
        <v>1</v>
      </c>
      <c r="BJ876">
        <v>0.2</v>
      </c>
      <c r="BK876">
        <v>1</v>
      </c>
      <c r="BL876">
        <v>76.06</v>
      </c>
      <c r="BM876">
        <v>11.41</v>
      </c>
      <c r="BN876">
        <v>87.47</v>
      </c>
      <c r="BO876">
        <v>87.47</v>
      </c>
      <c r="BQ876" t="s">
        <v>239</v>
      </c>
      <c r="BR876" t="s">
        <v>82</v>
      </c>
      <c r="BS876" s="3">
        <v>45999</v>
      </c>
      <c r="BT876" s="4">
        <v>0.42222222222222222</v>
      </c>
      <c r="BU876" t="s">
        <v>1652</v>
      </c>
      <c r="BV876" t="s">
        <v>84</v>
      </c>
      <c r="BY876">
        <v>1200</v>
      </c>
      <c r="CA876" t="s">
        <v>1545</v>
      </c>
      <c r="CC876" t="s">
        <v>95</v>
      </c>
      <c r="CD876">
        <v>3600</v>
      </c>
      <c r="CE876" t="s">
        <v>134</v>
      </c>
      <c r="CF876" s="3">
        <v>45999</v>
      </c>
      <c r="CI876">
        <v>1</v>
      </c>
      <c r="CJ876">
        <v>1</v>
      </c>
      <c r="CK876">
        <v>21</v>
      </c>
      <c r="CL876" t="s">
        <v>87</v>
      </c>
    </row>
    <row r="877" spans="1:90" x14ac:dyDescent="0.3">
      <c r="A877" t="s">
        <v>72</v>
      </c>
      <c r="B877" t="s">
        <v>73</v>
      </c>
      <c r="C877" t="s">
        <v>74</v>
      </c>
      <c r="E877" t="str">
        <f>"080069706090"</f>
        <v>080069706090</v>
      </c>
      <c r="F877" s="3">
        <v>45996</v>
      </c>
      <c r="G877">
        <v>202609</v>
      </c>
      <c r="H877" t="s">
        <v>75</v>
      </c>
      <c r="I877" t="s">
        <v>76</v>
      </c>
      <c r="J877" t="s">
        <v>77</v>
      </c>
      <c r="K877" t="s">
        <v>78</v>
      </c>
      <c r="L877" t="s">
        <v>94</v>
      </c>
      <c r="M877" t="s">
        <v>95</v>
      </c>
      <c r="N877" t="s">
        <v>96</v>
      </c>
      <c r="O877" t="s">
        <v>89</v>
      </c>
      <c r="P877" t="str">
        <f>"4170072103                    "</f>
        <v xml:space="preserve">4170072103                    </v>
      </c>
      <c r="Q877">
        <v>0</v>
      </c>
      <c r="R877">
        <v>0</v>
      </c>
      <c r="S877">
        <v>0</v>
      </c>
      <c r="T877">
        <v>0</v>
      </c>
      <c r="U877">
        <v>0</v>
      </c>
      <c r="V877">
        <v>0</v>
      </c>
      <c r="W877">
        <v>0</v>
      </c>
      <c r="X877">
        <v>0</v>
      </c>
      <c r="Y877">
        <v>0</v>
      </c>
      <c r="Z877">
        <v>0</v>
      </c>
      <c r="AA877">
        <v>0</v>
      </c>
      <c r="AB877">
        <v>0</v>
      </c>
      <c r="AC877">
        <v>0</v>
      </c>
      <c r="AD877">
        <v>0</v>
      </c>
      <c r="AE877">
        <v>0</v>
      </c>
      <c r="AF877">
        <v>0</v>
      </c>
      <c r="AG877">
        <v>0</v>
      </c>
      <c r="AH877">
        <v>0</v>
      </c>
      <c r="AI877">
        <v>0</v>
      </c>
      <c r="AJ877">
        <v>0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25.52</v>
      </c>
      <c r="AR877">
        <v>0</v>
      </c>
      <c r="AS877">
        <v>0</v>
      </c>
      <c r="AT877">
        <v>0</v>
      </c>
      <c r="AU877">
        <v>0</v>
      </c>
      <c r="AV877">
        <v>0</v>
      </c>
      <c r="AW877">
        <v>0</v>
      </c>
      <c r="AX877">
        <v>0</v>
      </c>
      <c r="AY877">
        <v>0</v>
      </c>
      <c r="AZ877">
        <v>0</v>
      </c>
      <c r="BA877">
        <v>0</v>
      </c>
      <c r="BB877">
        <v>0</v>
      </c>
      <c r="BC877">
        <v>0</v>
      </c>
      <c r="BD877">
        <v>0</v>
      </c>
      <c r="BE877">
        <v>0</v>
      </c>
      <c r="BF877">
        <v>0</v>
      </c>
      <c r="BG877">
        <v>0</v>
      </c>
      <c r="BH877">
        <v>1</v>
      </c>
      <c r="BI877">
        <v>1</v>
      </c>
      <c r="BJ877">
        <v>0.2</v>
      </c>
      <c r="BK877">
        <v>1</v>
      </c>
      <c r="BL877">
        <v>76.06</v>
      </c>
      <c r="BM877">
        <v>11.41</v>
      </c>
      <c r="BN877">
        <v>87.47</v>
      </c>
      <c r="BO877">
        <v>87.47</v>
      </c>
      <c r="BQ877" t="s">
        <v>97</v>
      </c>
      <c r="BR877" t="s">
        <v>82</v>
      </c>
      <c r="BS877" s="3">
        <v>45999</v>
      </c>
      <c r="BT877" s="4">
        <v>0.41041666666666665</v>
      </c>
      <c r="BU877" t="s">
        <v>98</v>
      </c>
      <c r="BV877" t="s">
        <v>84</v>
      </c>
      <c r="BY877">
        <v>1200</v>
      </c>
      <c r="CA877" t="s">
        <v>99</v>
      </c>
      <c r="CC877" t="s">
        <v>95</v>
      </c>
      <c r="CD877">
        <v>3610</v>
      </c>
      <c r="CE877" t="s">
        <v>134</v>
      </c>
      <c r="CF877" s="3">
        <v>45999</v>
      </c>
      <c r="CI877">
        <v>1</v>
      </c>
      <c r="CJ877">
        <v>1</v>
      </c>
      <c r="CK877">
        <v>21</v>
      </c>
      <c r="CL877" t="s">
        <v>87</v>
      </c>
    </row>
    <row r="878" spans="1:90" x14ac:dyDescent="0.3">
      <c r="A878" t="s">
        <v>72</v>
      </c>
      <c r="B878" t="s">
        <v>73</v>
      </c>
      <c r="C878" t="s">
        <v>74</v>
      </c>
      <c r="E878" t="str">
        <f>"080069706087"</f>
        <v>080069706087</v>
      </c>
      <c r="F878" s="3">
        <v>45996</v>
      </c>
      <c r="G878">
        <v>202609</v>
      </c>
      <c r="H878" t="s">
        <v>75</v>
      </c>
      <c r="I878" t="s">
        <v>76</v>
      </c>
      <c r="J878" t="s">
        <v>77</v>
      </c>
      <c r="K878" t="s">
        <v>78</v>
      </c>
      <c r="L878" t="s">
        <v>241</v>
      </c>
      <c r="M878" t="s">
        <v>242</v>
      </c>
      <c r="N878" t="s">
        <v>243</v>
      </c>
      <c r="O878" t="s">
        <v>89</v>
      </c>
      <c r="P878" t="str">
        <f>"4170072175                    "</f>
        <v xml:space="preserve">4170072175                    </v>
      </c>
      <c r="Q878">
        <v>0</v>
      </c>
      <c r="R878">
        <v>0</v>
      </c>
      <c r="S878">
        <v>0</v>
      </c>
      <c r="T878">
        <v>0</v>
      </c>
      <c r="U878">
        <v>0</v>
      </c>
      <c r="V878">
        <v>0</v>
      </c>
      <c r="W878">
        <v>0</v>
      </c>
      <c r="X878">
        <v>0</v>
      </c>
      <c r="Y878">
        <v>0</v>
      </c>
      <c r="Z878">
        <v>0</v>
      </c>
      <c r="AA878">
        <v>0</v>
      </c>
      <c r="AB878">
        <v>0</v>
      </c>
      <c r="AC878">
        <v>0</v>
      </c>
      <c r="AD878">
        <v>0</v>
      </c>
      <c r="AE878">
        <v>0</v>
      </c>
      <c r="AF878">
        <v>0</v>
      </c>
      <c r="AG878">
        <v>0</v>
      </c>
      <c r="AH878">
        <v>0</v>
      </c>
      <c r="AI878">
        <v>0</v>
      </c>
      <c r="AJ878">
        <v>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25.52</v>
      </c>
      <c r="AR878">
        <v>0</v>
      </c>
      <c r="AS878">
        <v>0</v>
      </c>
      <c r="AT878">
        <v>0</v>
      </c>
      <c r="AU878">
        <v>0</v>
      </c>
      <c r="AV878">
        <v>0</v>
      </c>
      <c r="AW878">
        <v>0</v>
      </c>
      <c r="AX878">
        <v>0</v>
      </c>
      <c r="AY878">
        <v>0</v>
      </c>
      <c r="AZ878">
        <v>0</v>
      </c>
      <c r="BA878">
        <v>0</v>
      </c>
      <c r="BB878">
        <v>0</v>
      </c>
      <c r="BC878">
        <v>0</v>
      </c>
      <c r="BD878">
        <v>0</v>
      </c>
      <c r="BE878">
        <v>0</v>
      </c>
      <c r="BF878">
        <v>0</v>
      </c>
      <c r="BG878">
        <v>0</v>
      </c>
      <c r="BH878">
        <v>1</v>
      </c>
      <c r="BI878">
        <v>1</v>
      </c>
      <c r="BJ878">
        <v>1.1000000000000001</v>
      </c>
      <c r="BK878">
        <v>1.5</v>
      </c>
      <c r="BL878">
        <v>76.06</v>
      </c>
      <c r="BM878">
        <v>11.41</v>
      </c>
      <c r="BN878">
        <v>87.47</v>
      </c>
      <c r="BO878">
        <v>87.47</v>
      </c>
      <c r="BQ878" t="s">
        <v>244</v>
      </c>
      <c r="BR878" t="s">
        <v>82</v>
      </c>
      <c r="BS878" s="3">
        <v>46000</v>
      </c>
      <c r="BT878" s="4">
        <v>0.53125</v>
      </c>
      <c r="BU878" t="s">
        <v>251</v>
      </c>
      <c r="BV878" t="s">
        <v>87</v>
      </c>
      <c r="BW878" t="s">
        <v>246</v>
      </c>
      <c r="BX878" t="s">
        <v>106</v>
      </c>
      <c r="BY878">
        <v>5510</v>
      </c>
      <c r="CC878" t="s">
        <v>242</v>
      </c>
      <c r="CD878">
        <v>4300</v>
      </c>
      <c r="CE878" t="s">
        <v>86</v>
      </c>
      <c r="CF878" s="3">
        <v>46001</v>
      </c>
      <c r="CI878">
        <v>1</v>
      </c>
      <c r="CJ878">
        <v>2</v>
      </c>
      <c r="CK878">
        <v>21</v>
      </c>
      <c r="CL878" t="s">
        <v>87</v>
      </c>
    </row>
    <row r="879" spans="1:90" x14ac:dyDescent="0.3">
      <c r="A879" t="s">
        <v>72</v>
      </c>
      <c r="B879" t="s">
        <v>73</v>
      </c>
      <c r="C879" t="s">
        <v>74</v>
      </c>
      <c r="E879" t="str">
        <f>"080069706131"</f>
        <v>080069706131</v>
      </c>
      <c r="F879" s="3">
        <v>45996</v>
      </c>
      <c r="G879">
        <v>202609</v>
      </c>
      <c r="H879" t="s">
        <v>75</v>
      </c>
      <c r="I879" t="s">
        <v>76</v>
      </c>
      <c r="J879" t="s">
        <v>77</v>
      </c>
      <c r="K879" t="s">
        <v>78</v>
      </c>
      <c r="L879" t="s">
        <v>302</v>
      </c>
      <c r="M879" t="s">
        <v>303</v>
      </c>
      <c r="N879" t="s">
        <v>1056</v>
      </c>
      <c r="O879" t="s">
        <v>89</v>
      </c>
      <c r="P879" t="str">
        <f>"4170072202                    "</f>
        <v xml:space="preserve">4170072202                    </v>
      </c>
      <c r="Q879">
        <v>0</v>
      </c>
      <c r="R879">
        <v>0</v>
      </c>
      <c r="S879">
        <v>0</v>
      </c>
      <c r="T879">
        <v>0</v>
      </c>
      <c r="U879">
        <v>0</v>
      </c>
      <c r="V879">
        <v>0</v>
      </c>
      <c r="W879">
        <v>0</v>
      </c>
      <c r="X879">
        <v>0</v>
      </c>
      <c r="Y879">
        <v>0</v>
      </c>
      <c r="Z879">
        <v>0</v>
      </c>
      <c r="AA879">
        <v>0</v>
      </c>
      <c r="AB879">
        <v>0</v>
      </c>
      <c r="AC879">
        <v>0</v>
      </c>
      <c r="AD879">
        <v>0</v>
      </c>
      <c r="AE879">
        <v>0</v>
      </c>
      <c r="AF879">
        <v>0</v>
      </c>
      <c r="AG879">
        <v>0</v>
      </c>
      <c r="AH879">
        <v>0</v>
      </c>
      <c r="AI879">
        <v>0</v>
      </c>
      <c r="AJ879">
        <v>0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51.04</v>
      </c>
      <c r="AR879">
        <v>0</v>
      </c>
      <c r="AS879">
        <v>0</v>
      </c>
      <c r="AT879">
        <v>0</v>
      </c>
      <c r="AU879">
        <v>0</v>
      </c>
      <c r="AV879">
        <v>0</v>
      </c>
      <c r="AW879">
        <v>0</v>
      </c>
      <c r="AX879">
        <v>0</v>
      </c>
      <c r="AY879">
        <v>0</v>
      </c>
      <c r="AZ879">
        <v>0</v>
      </c>
      <c r="BA879">
        <v>0</v>
      </c>
      <c r="BB879">
        <v>0</v>
      </c>
      <c r="BC879">
        <v>0</v>
      </c>
      <c r="BD879">
        <v>0</v>
      </c>
      <c r="BE879">
        <v>0</v>
      </c>
      <c r="BF879">
        <v>0</v>
      </c>
      <c r="BG879">
        <v>0</v>
      </c>
      <c r="BH879">
        <v>1</v>
      </c>
      <c r="BI879">
        <v>1.3</v>
      </c>
      <c r="BJ879">
        <v>3.8</v>
      </c>
      <c r="BK879">
        <v>4</v>
      </c>
      <c r="BL879">
        <v>152.1</v>
      </c>
      <c r="BM879">
        <v>22.82</v>
      </c>
      <c r="BN879">
        <v>174.92</v>
      </c>
      <c r="BO879">
        <v>174.92</v>
      </c>
      <c r="BQ879" t="s">
        <v>1057</v>
      </c>
      <c r="BR879" t="s">
        <v>82</v>
      </c>
      <c r="BS879" s="3">
        <v>45999</v>
      </c>
      <c r="BT879" s="4">
        <v>0.4</v>
      </c>
      <c r="BU879" t="s">
        <v>1653</v>
      </c>
      <c r="BV879" t="s">
        <v>84</v>
      </c>
      <c r="BY879">
        <v>19029.36</v>
      </c>
      <c r="CA879">
        <v>8110305701087</v>
      </c>
      <c r="CC879" t="s">
        <v>303</v>
      </c>
      <c r="CD879" s="5" t="s">
        <v>933</v>
      </c>
      <c r="CE879" t="s">
        <v>86</v>
      </c>
      <c r="CF879" s="3">
        <v>45999</v>
      </c>
      <c r="CI879">
        <v>1</v>
      </c>
      <c r="CJ879">
        <v>1</v>
      </c>
      <c r="CK879">
        <v>21</v>
      </c>
      <c r="CL879" t="s">
        <v>87</v>
      </c>
    </row>
    <row r="880" spans="1:90" x14ac:dyDescent="0.3">
      <c r="A880" t="s">
        <v>72</v>
      </c>
      <c r="B880" t="s">
        <v>73</v>
      </c>
      <c r="C880" t="s">
        <v>74</v>
      </c>
      <c r="E880" t="str">
        <f>"080069706144"</f>
        <v>080069706144</v>
      </c>
      <c r="F880" s="3">
        <v>45996</v>
      </c>
      <c r="G880">
        <v>202609</v>
      </c>
      <c r="H880" t="s">
        <v>75</v>
      </c>
      <c r="I880" t="s">
        <v>76</v>
      </c>
      <c r="J880" t="s">
        <v>77</v>
      </c>
      <c r="K880" t="s">
        <v>78</v>
      </c>
      <c r="L880" t="s">
        <v>202</v>
      </c>
      <c r="M880" t="s">
        <v>203</v>
      </c>
      <c r="N880" t="s">
        <v>204</v>
      </c>
      <c r="O880" t="s">
        <v>89</v>
      </c>
      <c r="P880" t="str">
        <f>"4170072279                    "</f>
        <v xml:space="preserve">4170072279                    </v>
      </c>
      <c r="Q880">
        <v>0</v>
      </c>
      <c r="R880">
        <v>0</v>
      </c>
      <c r="S880">
        <v>0</v>
      </c>
      <c r="T880">
        <v>0</v>
      </c>
      <c r="U880">
        <v>0</v>
      </c>
      <c r="V880">
        <v>0</v>
      </c>
      <c r="W880">
        <v>0</v>
      </c>
      <c r="X880">
        <v>0</v>
      </c>
      <c r="Y880">
        <v>0</v>
      </c>
      <c r="Z880">
        <v>0</v>
      </c>
      <c r="AA880">
        <v>0</v>
      </c>
      <c r="AB880">
        <v>0</v>
      </c>
      <c r="AC880">
        <v>0</v>
      </c>
      <c r="AD880">
        <v>0</v>
      </c>
      <c r="AE880">
        <v>0</v>
      </c>
      <c r="AF880">
        <v>0</v>
      </c>
      <c r="AG880">
        <v>0</v>
      </c>
      <c r="AH880">
        <v>0</v>
      </c>
      <c r="AI880">
        <v>0</v>
      </c>
      <c r="AJ880">
        <v>0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317.43</v>
      </c>
      <c r="AR880">
        <v>0</v>
      </c>
      <c r="AS880">
        <v>0</v>
      </c>
      <c r="AT880">
        <v>0</v>
      </c>
      <c r="AU880">
        <v>0</v>
      </c>
      <c r="AV880">
        <v>0</v>
      </c>
      <c r="AW880">
        <v>0</v>
      </c>
      <c r="AX880">
        <v>0</v>
      </c>
      <c r="AY880">
        <v>0</v>
      </c>
      <c r="AZ880">
        <v>0</v>
      </c>
      <c r="BA880">
        <v>0</v>
      </c>
      <c r="BB880">
        <v>0</v>
      </c>
      <c r="BC880">
        <v>0</v>
      </c>
      <c r="BD880">
        <v>0</v>
      </c>
      <c r="BE880">
        <v>0</v>
      </c>
      <c r="BF880">
        <v>0</v>
      </c>
      <c r="BG880">
        <v>0</v>
      </c>
      <c r="BH880">
        <v>2</v>
      </c>
      <c r="BI880">
        <v>14</v>
      </c>
      <c r="BJ880">
        <v>8.1</v>
      </c>
      <c r="BK880">
        <v>14</v>
      </c>
      <c r="BL880">
        <v>946</v>
      </c>
      <c r="BM880">
        <v>141.9</v>
      </c>
      <c r="BN880">
        <v>1087.9000000000001</v>
      </c>
      <c r="BO880">
        <v>1087.9000000000001</v>
      </c>
      <c r="BQ880" t="s">
        <v>205</v>
      </c>
      <c r="BR880" t="s">
        <v>82</v>
      </c>
      <c r="BS880" s="3">
        <v>45999</v>
      </c>
      <c r="BT880" s="4">
        <v>0.40972222222222221</v>
      </c>
      <c r="BU880" t="s">
        <v>1520</v>
      </c>
      <c r="BV880" t="s">
        <v>84</v>
      </c>
      <c r="BY880">
        <v>20358</v>
      </c>
      <c r="CA880">
        <v>7908245451080</v>
      </c>
      <c r="CC880" t="s">
        <v>203</v>
      </c>
      <c r="CD880">
        <v>2531</v>
      </c>
      <c r="CE880" t="s">
        <v>86</v>
      </c>
      <c r="CF880" s="3">
        <v>46000</v>
      </c>
      <c r="CI880">
        <v>1</v>
      </c>
      <c r="CJ880">
        <v>1</v>
      </c>
      <c r="CK880">
        <v>23</v>
      </c>
      <c r="CL880" t="s">
        <v>87</v>
      </c>
    </row>
    <row r="881" spans="1:90" x14ac:dyDescent="0.3">
      <c r="A881" t="s">
        <v>72</v>
      </c>
      <c r="B881" t="s">
        <v>73</v>
      </c>
      <c r="C881" t="s">
        <v>74</v>
      </c>
      <c r="E881" t="str">
        <f>"080069706158"</f>
        <v>080069706158</v>
      </c>
      <c r="F881" s="3">
        <v>45996</v>
      </c>
      <c r="G881">
        <v>202609</v>
      </c>
      <c r="H881" t="s">
        <v>75</v>
      </c>
      <c r="I881" t="s">
        <v>76</v>
      </c>
      <c r="J881" t="s">
        <v>77</v>
      </c>
      <c r="K881" t="s">
        <v>78</v>
      </c>
      <c r="L881" t="s">
        <v>265</v>
      </c>
      <c r="M881" t="s">
        <v>266</v>
      </c>
      <c r="N881" t="s">
        <v>414</v>
      </c>
      <c r="O881" t="s">
        <v>89</v>
      </c>
      <c r="P881" t="str">
        <f>"4170072068                    "</f>
        <v xml:space="preserve">4170072068                    </v>
      </c>
      <c r="Q881">
        <v>0</v>
      </c>
      <c r="R881">
        <v>0</v>
      </c>
      <c r="S881">
        <v>0</v>
      </c>
      <c r="T881">
        <v>0</v>
      </c>
      <c r="U881">
        <v>0</v>
      </c>
      <c r="V881">
        <v>0</v>
      </c>
      <c r="W881">
        <v>0</v>
      </c>
      <c r="X881">
        <v>0</v>
      </c>
      <c r="Y881">
        <v>0</v>
      </c>
      <c r="Z881">
        <v>0</v>
      </c>
      <c r="AA881">
        <v>0</v>
      </c>
      <c r="AB881">
        <v>0</v>
      </c>
      <c r="AC881">
        <v>0</v>
      </c>
      <c r="AD881">
        <v>0</v>
      </c>
      <c r="AE881">
        <v>0</v>
      </c>
      <c r="AF881">
        <v>0</v>
      </c>
      <c r="AG881">
        <v>0</v>
      </c>
      <c r="AH881">
        <v>0</v>
      </c>
      <c r="AI881">
        <v>0</v>
      </c>
      <c r="AJ881">
        <v>0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19.940000000000001</v>
      </c>
      <c r="AR881">
        <v>0</v>
      </c>
      <c r="AS881">
        <v>0</v>
      </c>
      <c r="AT881">
        <v>0</v>
      </c>
      <c r="AU881">
        <v>0</v>
      </c>
      <c r="AV881">
        <v>0</v>
      </c>
      <c r="AW881">
        <v>0</v>
      </c>
      <c r="AX881">
        <v>0</v>
      </c>
      <c r="AY881">
        <v>0</v>
      </c>
      <c r="AZ881">
        <v>0</v>
      </c>
      <c r="BA881">
        <v>0</v>
      </c>
      <c r="BB881">
        <v>0</v>
      </c>
      <c r="BC881">
        <v>0</v>
      </c>
      <c r="BD881">
        <v>0</v>
      </c>
      <c r="BE881">
        <v>0</v>
      </c>
      <c r="BF881">
        <v>0</v>
      </c>
      <c r="BG881">
        <v>0</v>
      </c>
      <c r="BH881">
        <v>1</v>
      </c>
      <c r="BI881">
        <v>1.2</v>
      </c>
      <c r="BJ881">
        <v>3.7</v>
      </c>
      <c r="BK881">
        <v>4</v>
      </c>
      <c r="BL881">
        <v>59.42</v>
      </c>
      <c r="BM881">
        <v>8.91</v>
      </c>
      <c r="BN881">
        <v>68.33</v>
      </c>
      <c r="BO881">
        <v>68.33</v>
      </c>
      <c r="BQ881" t="s">
        <v>415</v>
      </c>
      <c r="BR881" t="s">
        <v>82</v>
      </c>
      <c r="BS881" s="3">
        <v>45999</v>
      </c>
      <c r="BT881" s="4">
        <v>0.32222222222222224</v>
      </c>
      <c r="BU881" t="s">
        <v>416</v>
      </c>
      <c r="BV881" t="s">
        <v>84</v>
      </c>
      <c r="BY881">
        <v>18324.810000000001</v>
      </c>
      <c r="CA881" t="s">
        <v>417</v>
      </c>
      <c r="CC881" t="s">
        <v>266</v>
      </c>
      <c r="CD881">
        <v>1459</v>
      </c>
      <c r="CE881" t="s">
        <v>86</v>
      </c>
      <c r="CF881" s="3">
        <v>45999</v>
      </c>
      <c r="CI881">
        <v>1</v>
      </c>
      <c r="CJ881">
        <v>1</v>
      </c>
      <c r="CK881">
        <v>22</v>
      </c>
      <c r="CL881" t="s">
        <v>87</v>
      </c>
    </row>
    <row r="882" spans="1:90" x14ac:dyDescent="0.3">
      <c r="A882" t="s">
        <v>72</v>
      </c>
      <c r="B882" t="s">
        <v>73</v>
      </c>
      <c r="C882" t="s">
        <v>74</v>
      </c>
      <c r="E882" t="str">
        <f>"080069706194"</f>
        <v>080069706194</v>
      </c>
      <c r="F882" s="3">
        <v>45996</v>
      </c>
      <c r="G882">
        <v>202609</v>
      </c>
      <c r="H882" t="s">
        <v>75</v>
      </c>
      <c r="I882" t="s">
        <v>76</v>
      </c>
      <c r="J882" t="s">
        <v>77</v>
      </c>
      <c r="K882" t="s">
        <v>78</v>
      </c>
      <c r="L882" t="s">
        <v>218</v>
      </c>
      <c r="M882" t="s">
        <v>219</v>
      </c>
      <c r="N882" t="s">
        <v>220</v>
      </c>
      <c r="O882" t="s">
        <v>89</v>
      </c>
      <c r="P882" t="str">
        <f>"4170072047                    "</f>
        <v xml:space="preserve">4170072047                    </v>
      </c>
      <c r="Q882">
        <v>0</v>
      </c>
      <c r="R882">
        <v>0</v>
      </c>
      <c r="S882">
        <v>0</v>
      </c>
      <c r="T882">
        <v>0</v>
      </c>
      <c r="U882">
        <v>0</v>
      </c>
      <c r="V882">
        <v>0</v>
      </c>
      <c r="W882">
        <v>0</v>
      </c>
      <c r="X882">
        <v>0</v>
      </c>
      <c r="Y882">
        <v>0</v>
      </c>
      <c r="Z882">
        <v>0</v>
      </c>
      <c r="AA882">
        <v>0</v>
      </c>
      <c r="AB882">
        <v>0</v>
      </c>
      <c r="AC882">
        <v>0</v>
      </c>
      <c r="AD882">
        <v>0</v>
      </c>
      <c r="AE882">
        <v>0</v>
      </c>
      <c r="AF882">
        <v>0</v>
      </c>
      <c r="AG882">
        <v>0</v>
      </c>
      <c r="AH882">
        <v>0</v>
      </c>
      <c r="AI882">
        <v>0</v>
      </c>
      <c r="AJ882">
        <v>0</v>
      </c>
      <c r="AK882">
        <v>0</v>
      </c>
      <c r="AL882">
        <v>0</v>
      </c>
      <c r="AM882">
        <v>0</v>
      </c>
      <c r="AN882">
        <v>0</v>
      </c>
      <c r="AO882">
        <v>0</v>
      </c>
      <c r="AP882">
        <v>0</v>
      </c>
      <c r="AQ882">
        <v>127.61</v>
      </c>
      <c r="AR882">
        <v>0</v>
      </c>
      <c r="AS882">
        <v>0</v>
      </c>
      <c r="AT882">
        <v>0</v>
      </c>
      <c r="AU882">
        <v>0</v>
      </c>
      <c r="AV882">
        <v>0</v>
      </c>
      <c r="AW882">
        <v>0</v>
      </c>
      <c r="AX882">
        <v>0</v>
      </c>
      <c r="AY882">
        <v>0</v>
      </c>
      <c r="AZ882">
        <v>0</v>
      </c>
      <c r="BA882">
        <v>0</v>
      </c>
      <c r="BB882">
        <v>0</v>
      </c>
      <c r="BC882">
        <v>0</v>
      </c>
      <c r="BD882">
        <v>0</v>
      </c>
      <c r="BE882">
        <v>0</v>
      </c>
      <c r="BF882">
        <v>0</v>
      </c>
      <c r="BG882">
        <v>0</v>
      </c>
      <c r="BH882">
        <v>1</v>
      </c>
      <c r="BI882">
        <v>2.9</v>
      </c>
      <c r="BJ882">
        <v>5.2</v>
      </c>
      <c r="BK882">
        <v>5.5</v>
      </c>
      <c r="BL882">
        <v>380.31</v>
      </c>
      <c r="BM882">
        <v>57.05</v>
      </c>
      <c r="BN882">
        <v>437.36</v>
      </c>
      <c r="BO882">
        <v>437.36</v>
      </c>
      <c r="BQ882" t="s">
        <v>221</v>
      </c>
      <c r="BR882" t="s">
        <v>82</v>
      </c>
      <c r="BS882" s="3">
        <v>45999</v>
      </c>
      <c r="BT882" s="4">
        <v>0.33333333333333331</v>
      </c>
      <c r="BU882" t="s">
        <v>1294</v>
      </c>
      <c r="BV882" t="s">
        <v>84</v>
      </c>
      <c r="BY882">
        <v>25956.45</v>
      </c>
      <c r="CC882" t="s">
        <v>219</v>
      </c>
      <c r="CD882">
        <v>2740</v>
      </c>
      <c r="CE882" t="s">
        <v>93</v>
      </c>
      <c r="CF882" s="3">
        <v>46000</v>
      </c>
      <c r="CI882">
        <v>1</v>
      </c>
      <c r="CJ882">
        <v>1</v>
      </c>
      <c r="CK882">
        <v>23</v>
      </c>
      <c r="CL882" t="s">
        <v>87</v>
      </c>
    </row>
    <row r="883" spans="1:90" x14ac:dyDescent="0.3">
      <c r="A883" t="s">
        <v>72</v>
      </c>
      <c r="B883" t="s">
        <v>73</v>
      </c>
      <c r="C883" t="s">
        <v>74</v>
      </c>
      <c r="E883" t="str">
        <f>"080069706222"</f>
        <v>080069706222</v>
      </c>
      <c r="F883" s="3">
        <v>45996</v>
      </c>
      <c r="G883">
        <v>202609</v>
      </c>
      <c r="H883" t="s">
        <v>75</v>
      </c>
      <c r="I883" t="s">
        <v>76</v>
      </c>
      <c r="J883" t="s">
        <v>77</v>
      </c>
      <c r="K883" t="s">
        <v>78</v>
      </c>
      <c r="L883" t="s">
        <v>302</v>
      </c>
      <c r="M883" t="s">
        <v>303</v>
      </c>
      <c r="N883" t="s">
        <v>1615</v>
      </c>
      <c r="O883" t="s">
        <v>80</v>
      </c>
      <c r="P883" t="str">
        <f>"4170072222                    "</f>
        <v xml:space="preserve">4170072222                    </v>
      </c>
      <c r="Q883">
        <v>0</v>
      </c>
      <c r="R883">
        <v>0</v>
      </c>
      <c r="S883">
        <v>0</v>
      </c>
      <c r="T883">
        <v>0</v>
      </c>
      <c r="U883">
        <v>0</v>
      </c>
      <c r="V883">
        <v>0</v>
      </c>
      <c r="W883">
        <v>0</v>
      </c>
      <c r="X883">
        <v>0</v>
      </c>
      <c r="Y883">
        <v>0</v>
      </c>
      <c r="Z883">
        <v>0</v>
      </c>
      <c r="AA883">
        <v>0</v>
      </c>
      <c r="AB883">
        <v>0</v>
      </c>
      <c r="AC883">
        <v>0</v>
      </c>
      <c r="AD883">
        <v>0</v>
      </c>
      <c r="AE883">
        <v>0</v>
      </c>
      <c r="AF883">
        <v>0</v>
      </c>
      <c r="AG883">
        <v>0</v>
      </c>
      <c r="AH883">
        <v>0</v>
      </c>
      <c r="AI883">
        <v>0</v>
      </c>
      <c r="AJ883">
        <v>0</v>
      </c>
      <c r="AK883">
        <v>0</v>
      </c>
      <c r="AL883">
        <v>0</v>
      </c>
      <c r="AM883">
        <v>0</v>
      </c>
      <c r="AN883">
        <v>0</v>
      </c>
      <c r="AO883">
        <v>0</v>
      </c>
      <c r="AP883">
        <v>0</v>
      </c>
      <c r="AQ883">
        <v>49.36</v>
      </c>
      <c r="AR883">
        <v>0</v>
      </c>
      <c r="AS883">
        <v>0</v>
      </c>
      <c r="AT883">
        <v>0</v>
      </c>
      <c r="AU883">
        <v>0</v>
      </c>
      <c r="AV883">
        <v>0</v>
      </c>
      <c r="AW883">
        <v>0</v>
      </c>
      <c r="AX883">
        <v>0</v>
      </c>
      <c r="AY883">
        <v>0</v>
      </c>
      <c r="AZ883">
        <v>0</v>
      </c>
      <c r="BA883">
        <v>0</v>
      </c>
      <c r="BB883">
        <v>0</v>
      </c>
      <c r="BC883">
        <v>0</v>
      </c>
      <c r="BD883">
        <v>0</v>
      </c>
      <c r="BE883">
        <v>0</v>
      </c>
      <c r="BF883">
        <v>0</v>
      </c>
      <c r="BG883">
        <v>0</v>
      </c>
      <c r="BH883">
        <v>2</v>
      </c>
      <c r="BI883">
        <v>8.3000000000000007</v>
      </c>
      <c r="BJ883">
        <v>9.5</v>
      </c>
      <c r="BK883">
        <v>10</v>
      </c>
      <c r="BL883">
        <v>153.19999999999999</v>
      </c>
      <c r="BM883">
        <v>22.98</v>
      </c>
      <c r="BN883">
        <v>176.18</v>
      </c>
      <c r="BO883">
        <v>176.18</v>
      </c>
      <c r="BQ883" t="s">
        <v>1616</v>
      </c>
      <c r="BR883" t="s">
        <v>82</v>
      </c>
      <c r="BS883" s="3">
        <v>45999</v>
      </c>
      <c r="BT883" s="4">
        <v>0.6479166666666667</v>
      </c>
      <c r="BU883" t="s">
        <v>1617</v>
      </c>
      <c r="BV883" t="s">
        <v>84</v>
      </c>
      <c r="BY883">
        <v>47525.27</v>
      </c>
      <c r="CA883">
        <v>8507115621084</v>
      </c>
      <c r="CC883" t="s">
        <v>303</v>
      </c>
      <c r="CD883" s="5" t="s">
        <v>433</v>
      </c>
      <c r="CE883" t="s">
        <v>86</v>
      </c>
      <c r="CF883" s="3">
        <v>46000</v>
      </c>
      <c r="CI883">
        <v>1</v>
      </c>
      <c r="CJ883">
        <v>1</v>
      </c>
      <c r="CK883">
        <v>41</v>
      </c>
      <c r="CL883" t="s">
        <v>87</v>
      </c>
    </row>
    <row r="884" spans="1:90" x14ac:dyDescent="0.3">
      <c r="A884" t="s">
        <v>72</v>
      </c>
      <c r="B884" t="s">
        <v>73</v>
      </c>
      <c r="C884" t="s">
        <v>74</v>
      </c>
      <c r="E884" t="str">
        <f>"080069706208"</f>
        <v>080069706208</v>
      </c>
      <c r="F884" s="3">
        <v>45996</v>
      </c>
      <c r="G884">
        <v>202609</v>
      </c>
      <c r="H884" t="s">
        <v>75</v>
      </c>
      <c r="I884" t="s">
        <v>76</v>
      </c>
      <c r="J884" t="s">
        <v>77</v>
      </c>
      <c r="K884" t="s">
        <v>78</v>
      </c>
      <c r="L884" t="s">
        <v>1654</v>
      </c>
      <c r="M884" t="s">
        <v>1655</v>
      </c>
      <c r="N884" t="s">
        <v>1656</v>
      </c>
      <c r="O884" t="s">
        <v>89</v>
      </c>
      <c r="P884" t="str">
        <f>"4170072069                    "</f>
        <v xml:space="preserve">4170072069                    </v>
      </c>
      <c r="Q884">
        <v>0</v>
      </c>
      <c r="R884">
        <v>0</v>
      </c>
      <c r="S884">
        <v>0</v>
      </c>
      <c r="T884">
        <v>0</v>
      </c>
      <c r="U884">
        <v>0</v>
      </c>
      <c r="V884">
        <v>0</v>
      </c>
      <c r="W884">
        <v>0</v>
      </c>
      <c r="X884">
        <v>0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>
        <v>0</v>
      </c>
      <c r="AG884">
        <v>0</v>
      </c>
      <c r="AH884">
        <v>0</v>
      </c>
      <c r="AI884">
        <v>0</v>
      </c>
      <c r="AJ884">
        <v>0</v>
      </c>
      <c r="AK884">
        <v>0</v>
      </c>
      <c r="AL884">
        <v>0</v>
      </c>
      <c r="AM884">
        <v>0</v>
      </c>
      <c r="AN884">
        <v>0</v>
      </c>
      <c r="AO884">
        <v>0</v>
      </c>
      <c r="AP884">
        <v>0</v>
      </c>
      <c r="AQ884">
        <v>49.45</v>
      </c>
      <c r="AR884">
        <v>0</v>
      </c>
      <c r="AS884">
        <v>0</v>
      </c>
      <c r="AT884">
        <v>0</v>
      </c>
      <c r="AU884">
        <v>0</v>
      </c>
      <c r="AV884">
        <v>0</v>
      </c>
      <c r="AW884">
        <v>0</v>
      </c>
      <c r="AX884">
        <v>0</v>
      </c>
      <c r="AY884">
        <v>0</v>
      </c>
      <c r="AZ884">
        <v>0</v>
      </c>
      <c r="BA884">
        <v>0</v>
      </c>
      <c r="BB884">
        <v>0</v>
      </c>
      <c r="BC884">
        <v>0</v>
      </c>
      <c r="BD884">
        <v>0</v>
      </c>
      <c r="BE884">
        <v>0</v>
      </c>
      <c r="BF884">
        <v>0</v>
      </c>
      <c r="BG884">
        <v>0</v>
      </c>
      <c r="BH884">
        <v>1</v>
      </c>
      <c r="BI884">
        <v>1</v>
      </c>
      <c r="BJ884">
        <v>1.8</v>
      </c>
      <c r="BK884">
        <v>2</v>
      </c>
      <c r="BL884">
        <v>147.38</v>
      </c>
      <c r="BM884">
        <v>22.11</v>
      </c>
      <c r="BN884">
        <v>169.49</v>
      </c>
      <c r="BO884">
        <v>169.49</v>
      </c>
      <c r="BQ884" t="s">
        <v>1657</v>
      </c>
      <c r="BR884" t="s">
        <v>82</v>
      </c>
      <c r="BS884" s="3">
        <v>46000</v>
      </c>
      <c r="BT884" s="4">
        <v>0.66874999999999996</v>
      </c>
      <c r="BU884" t="s">
        <v>1658</v>
      </c>
      <c r="BV884" t="s">
        <v>87</v>
      </c>
      <c r="BY884">
        <v>8775</v>
      </c>
      <c r="CC884" t="s">
        <v>1655</v>
      </c>
      <c r="CD884">
        <v>3310</v>
      </c>
      <c r="CE884" t="s">
        <v>86</v>
      </c>
      <c r="CF884" s="3">
        <v>46000</v>
      </c>
      <c r="CI884">
        <v>1</v>
      </c>
      <c r="CJ884">
        <v>2</v>
      </c>
      <c r="CK884">
        <v>23</v>
      </c>
      <c r="CL884" t="s">
        <v>87</v>
      </c>
    </row>
    <row r="885" spans="1:90" x14ac:dyDescent="0.3">
      <c r="A885" t="s">
        <v>72</v>
      </c>
      <c r="B885" t="s">
        <v>73</v>
      </c>
      <c r="C885" t="s">
        <v>74</v>
      </c>
      <c r="E885" t="str">
        <f>"080069706230"</f>
        <v>080069706230</v>
      </c>
      <c r="F885" s="3">
        <v>45996</v>
      </c>
      <c r="G885">
        <v>202609</v>
      </c>
      <c r="H885" t="s">
        <v>75</v>
      </c>
      <c r="I885" t="s">
        <v>76</v>
      </c>
      <c r="J885" t="s">
        <v>77</v>
      </c>
      <c r="K885" t="s">
        <v>78</v>
      </c>
      <c r="L885" t="s">
        <v>75</v>
      </c>
      <c r="M885" t="s">
        <v>76</v>
      </c>
      <c r="N885" t="s">
        <v>494</v>
      </c>
      <c r="O885" t="s">
        <v>89</v>
      </c>
      <c r="P885" t="str">
        <f>"4170072131                    "</f>
        <v xml:space="preserve">4170072131                    </v>
      </c>
      <c r="Q885">
        <v>0</v>
      </c>
      <c r="R885">
        <v>0</v>
      </c>
      <c r="S885">
        <v>0</v>
      </c>
      <c r="T885">
        <v>0</v>
      </c>
      <c r="U885">
        <v>0</v>
      </c>
      <c r="V885">
        <v>0</v>
      </c>
      <c r="W885">
        <v>0</v>
      </c>
      <c r="X885">
        <v>0</v>
      </c>
      <c r="Y885">
        <v>0</v>
      </c>
      <c r="Z885">
        <v>0</v>
      </c>
      <c r="AA885">
        <v>0</v>
      </c>
      <c r="AB885">
        <v>0</v>
      </c>
      <c r="AC885">
        <v>0</v>
      </c>
      <c r="AD885">
        <v>0</v>
      </c>
      <c r="AE885">
        <v>0</v>
      </c>
      <c r="AF885">
        <v>0</v>
      </c>
      <c r="AG885">
        <v>0</v>
      </c>
      <c r="AH885">
        <v>0</v>
      </c>
      <c r="AI885">
        <v>0</v>
      </c>
      <c r="AJ885">
        <v>0</v>
      </c>
      <c r="AK885">
        <v>0</v>
      </c>
      <c r="AL885">
        <v>0</v>
      </c>
      <c r="AM885">
        <v>0</v>
      </c>
      <c r="AN885">
        <v>0</v>
      </c>
      <c r="AO885">
        <v>0</v>
      </c>
      <c r="AP885">
        <v>0</v>
      </c>
      <c r="AQ885">
        <v>19.940000000000001</v>
      </c>
      <c r="AR885">
        <v>0</v>
      </c>
      <c r="AS885">
        <v>0</v>
      </c>
      <c r="AT885">
        <v>0</v>
      </c>
      <c r="AU885">
        <v>0</v>
      </c>
      <c r="AV885">
        <v>0</v>
      </c>
      <c r="AW885">
        <v>0</v>
      </c>
      <c r="AX885">
        <v>0</v>
      </c>
      <c r="AY885">
        <v>0</v>
      </c>
      <c r="AZ885">
        <v>0</v>
      </c>
      <c r="BA885">
        <v>0</v>
      </c>
      <c r="BB885">
        <v>0</v>
      </c>
      <c r="BC885">
        <v>0</v>
      </c>
      <c r="BD885">
        <v>0</v>
      </c>
      <c r="BE885">
        <v>0</v>
      </c>
      <c r="BF885">
        <v>0</v>
      </c>
      <c r="BG885">
        <v>0</v>
      </c>
      <c r="BH885">
        <v>1</v>
      </c>
      <c r="BI885">
        <v>6</v>
      </c>
      <c r="BJ885">
        <v>4.0999999999999996</v>
      </c>
      <c r="BK885">
        <v>6</v>
      </c>
      <c r="BL885">
        <v>59.42</v>
      </c>
      <c r="BM885">
        <v>8.91</v>
      </c>
      <c r="BN885">
        <v>68.33</v>
      </c>
      <c r="BO885">
        <v>68.33</v>
      </c>
      <c r="BQ885" t="s">
        <v>495</v>
      </c>
      <c r="BR885" t="s">
        <v>82</v>
      </c>
      <c r="BS885" s="3">
        <v>45999</v>
      </c>
      <c r="BT885" s="4">
        <v>0.3659722222222222</v>
      </c>
      <c r="BU885" t="s">
        <v>779</v>
      </c>
      <c r="BV885" t="s">
        <v>84</v>
      </c>
      <c r="BY885">
        <v>20358</v>
      </c>
      <c r="CC885" t="s">
        <v>76</v>
      </c>
      <c r="CD885">
        <v>1614</v>
      </c>
      <c r="CE885" t="s">
        <v>86</v>
      </c>
      <c r="CF885" s="3">
        <v>45999</v>
      </c>
      <c r="CI885">
        <v>1</v>
      </c>
      <c r="CJ885">
        <v>1</v>
      </c>
      <c r="CK885">
        <v>22</v>
      </c>
      <c r="CL885" t="s">
        <v>87</v>
      </c>
    </row>
    <row r="886" spans="1:90" x14ac:dyDescent="0.3">
      <c r="A886" t="s">
        <v>72</v>
      </c>
      <c r="B886" t="s">
        <v>73</v>
      </c>
      <c r="C886" t="s">
        <v>74</v>
      </c>
      <c r="E886" t="str">
        <f>"080069706257"</f>
        <v>080069706257</v>
      </c>
      <c r="F886" s="3">
        <v>45996</v>
      </c>
      <c r="G886">
        <v>202609</v>
      </c>
      <c r="H886" t="s">
        <v>75</v>
      </c>
      <c r="I886" t="s">
        <v>76</v>
      </c>
      <c r="J886" t="s">
        <v>77</v>
      </c>
      <c r="K886" t="s">
        <v>78</v>
      </c>
      <c r="L886" t="s">
        <v>698</v>
      </c>
      <c r="M886" t="s">
        <v>698</v>
      </c>
      <c r="N886" t="s">
        <v>543</v>
      </c>
      <c r="O886" t="s">
        <v>89</v>
      </c>
      <c r="P886" t="str">
        <f>"4170072178                    "</f>
        <v xml:space="preserve">4170072178                    </v>
      </c>
      <c r="Q886">
        <v>0</v>
      </c>
      <c r="R886">
        <v>0</v>
      </c>
      <c r="S886">
        <v>0</v>
      </c>
      <c r="T886">
        <v>0</v>
      </c>
      <c r="U886">
        <v>0</v>
      </c>
      <c r="V886">
        <v>0</v>
      </c>
      <c r="W886">
        <v>0</v>
      </c>
      <c r="X886">
        <v>0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0</v>
      </c>
      <c r="AE886">
        <v>0</v>
      </c>
      <c r="AF886">
        <v>0</v>
      </c>
      <c r="AG886">
        <v>0</v>
      </c>
      <c r="AH886">
        <v>0</v>
      </c>
      <c r="AI886">
        <v>0</v>
      </c>
      <c r="AJ886">
        <v>0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35.9</v>
      </c>
      <c r="AR886">
        <v>0</v>
      </c>
      <c r="AS886">
        <v>0</v>
      </c>
      <c r="AT886">
        <v>0</v>
      </c>
      <c r="AU886">
        <v>0</v>
      </c>
      <c r="AV886">
        <v>0</v>
      </c>
      <c r="AW886">
        <v>0</v>
      </c>
      <c r="AX886">
        <v>0</v>
      </c>
      <c r="AY886">
        <v>0</v>
      </c>
      <c r="AZ886">
        <v>0</v>
      </c>
      <c r="BA886">
        <v>0</v>
      </c>
      <c r="BB886">
        <v>0</v>
      </c>
      <c r="BC886">
        <v>0</v>
      </c>
      <c r="BD886">
        <v>0</v>
      </c>
      <c r="BE886">
        <v>0</v>
      </c>
      <c r="BF886">
        <v>0</v>
      </c>
      <c r="BG886">
        <v>0</v>
      </c>
      <c r="BH886">
        <v>1</v>
      </c>
      <c r="BI886">
        <v>1</v>
      </c>
      <c r="BJ886">
        <v>1.1000000000000001</v>
      </c>
      <c r="BK886">
        <v>1.5</v>
      </c>
      <c r="BL886">
        <v>106.98</v>
      </c>
      <c r="BM886">
        <v>16.05</v>
      </c>
      <c r="BN886">
        <v>123.03</v>
      </c>
      <c r="BO886">
        <v>123.03</v>
      </c>
      <c r="BQ886" t="s">
        <v>544</v>
      </c>
      <c r="BR886" t="s">
        <v>82</v>
      </c>
      <c r="BS886" s="3">
        <v>45999</v>
      </c>
      <c r="BT886" s="4">
        <v>0.41666666666666669</v>
      </c>
      <c r="BU886" t="s">
        <v>1591</v>
      </c>
      <c r="BV886" t="s">
        <v>84</v>
      </c>
      <c r="BY886">
        <v>5320</v>
      </c>
      <c r="CC886" t="s">
        <v>698</v>
      </c>
      <c r="CD886">
        <v>1491</v>
      </c>
      <c r="CE886" t="s">
        <v>86</v>
      </c>
      <c r="CF886" s="3">
        <v>46000</v>
      </c>
      <c r="CI886">
        <v>1</v>
      </c>
      <c r="CJ886">
        <v>1</v>
      </c>
      <c r="CK886">
        <v>24</v>
      </c>
      <c r="CL886" t="s">
        <v>87</v>
      </c>
    </row>
    <row r="887" spans="1:90" x14ac:dyDescent="0.3">
      <c r="A887" t="s">
        <v>72</v>
      </c>
      <c r="B887" t="s">
        <v>73</v>
      </c>
      <c r="C887" t="s">
        <v>74</v>
      </c>
      <c r="E887" t="str">
        <f>"080069706281"</f>
        <v>080069706281</v>
      </c>
      <c r="F887" s="3">
        <v>45996</v>
      </c>
      <c r="G887">
        <v>202609</v>
      </c>
      <c r="H887" t="s">
        <v>75</v>
      </c>
      <c r="I887" t="s">
        <v>76</v>
      </c>
      <c r="J887" t="s">
        <v>77</v>
      </c>
      <c r="K887" t="s">
        <v>78</v>
      </c>
      <c r="L887" t="s">
        <v>389</v>
      </c>
      <c r="M887" t="s">
        <v>390</v>
      </c>
      <c r="N887" t="s">
        <v>1090</v>
      </c>
      <c r="O887" t="s">
        <v>89</v>
      </c>
      <c r="P887" t="str">
        <f>"4170072162                    "</f>
        <v xml:space="preserve">4170072162                    </v>
      </c>
      <c r="Q887">
        <v>0</v>
      </c>
      <c r="R887">
        <v>0</v>
      </c>
      <c r="S887">
        <v>0</v>
      </c>
      <c r="T887">
        <v>0</v>
      </c>
      <c r="U887">
        <v>0</v>
      </c>
      <c r="V887">
        <v>0</v>
      </c>
      <c r="W887">
        <v>0</v>
      </c>
      <c r="X887">
        <v>0</v>
      </c>
      <c r="Y887">
        <v>0</v>
      </c>
      <c r="Z887">
        <v>0</v>
      </c>
      <c r="AA887">
        <v>0</v>
      </c>
      <c r="AB887">
        <v>0</v>
      </c>
      <c r="AC887">
        <v>0</v>
      </c>
      <c r="AD887">
        <v>0</v>
      </c>
      <c r="AE887">
        <v>0</v>
      </c>
      <c r="AF887">
        <v>0</v>
      </c>
      <c r="AG887">
        <v>0</v>
      </c>
      <c r="AH887">
        <v>0</v>
      </c>
      <c r="AI887">
        <v>0</v>
      </c>
      <c r="AJ887">
        <v>0</v>
      </c>
      <c r="AK887">
        <v>0</v>
      </c>
      <c r="AL887">
        <v>0</v>
      </c>
      <c r="AM887">
        <v>0</v>
      </c>
      <c r="AN887">
        <v>0</v>
      </c>
      <c r="AO887">
        <v>0</v>
      </c>
      <c r="AP887">
        <v>0</v>
      </c>
      <c r="AQ887">
        <v>49.45</v>
      </c>
      <c r="AR887">
        <v>0</v>
      </c>
      <c r="AS887">
        <v>0</v>
      </c>
      <c r="AT887">
        <v>0</v>
      </c>
      <c r="AU887">
        <v>0</v>
      </c>
      <c r="AV887">
        <v>0</v>
      </c>
      <c r="AW887">
        <v>0</v>
      </c>
      <c r="AX887">
        <v>0</v>
      </c>
      <c r="AY887">
        <v>0</v>
      </c>
      <c r="AZ887">
        <v>0</v>
      </c>
      <c r="BA887">
        <v>0</v>
      </c>
      <c r="BB887">
        <v>0</v>
      </c>
      <c r="BC887">
        <v>0</v>
      </c>
      <c r="BD887">
        <v>0</v>
      </c>
      <c r="BE887">
        <v>0</v>
      </c>
      <c r="BF887">
        <v>0</v>
      </c>
      <c r="BG887">
        <v>0</v>
      </c>
      <c r="BH887">
        <v>1</v>
      </c>
      <c r="BI887">
        <v>1</v>
      </c>
      <c r="BJ887">
        <v>1.1000000000000001</v>
      </c>
      <c r="BK887">
        <v>1.5</v>
      </c>
      <c r="BL887">
        <v>147.38</v>
      </c>
      <c r="BM887">
        <v>22.11</v>
      </c>
      <c r="BN887">
        <v>169.49</v>
      </c>
      <c r="BO887">
        <v>169.49</v>
      </c>
      <c r="BQ887" t="s">
        <v>1091</v>
      </c>
      <c r="BR887" t="s">
        <v>82</v>
      </c>
      <c r="BS887" s="3">
        <v>45999</v>
      </c>
      <c r="BT887" s="4">
        <v>0.43263888888888891</v>
      </c>
      <c r="BU887" t="s">
        <v>1092</v>
      </c>
      <c r="BV887" t="s">
        <v>84</v>
      </c>
      <c r="BY887">
        <v>5320</v>
      </c>
      <c r="CA887">
        <v>7601035402088</v>
      </c>
      <c r="CC887" t="s">
        <v>390</v>
      </c>
      <c r="CD887" s="5" t="s">
        <v>395</v>
      </c>
      <c r="CE887" t="s">
        <v>86</v>
      </c>
      <c r="CF887" s="3">
        <v>46000</v>
      </c>
      <c r="CI887">
        <v>1</v>
      </c>
      <c r="CJ887">
        <v>1</v>
      </c>
      <c r="CK887">
        <v>23</v>
      </c>
      <c r="CL887" t="s">
        <v>87</v>
      </c>
    </row>
    <row r="888" spans="1:90" x14ac:dyDescent="0.3">
      <c r="A888" t="s">
        <v>72</v>
      </c>
      <c r="B888" t="s">
        <v>73</v>
      </c>
      <c r="C888" t="s">
        <v>74</v>
      </c>
      <c r="E888" t="str">
        <f>"080069706302"</f>
        <v>080069706302</v>
      </c>
      <c r="F888" s="3">
        <v>45996</v>
      </c>
      <c r="G888">
        <v>202609</v>
      </c>
      <c r="H888" t="s">
        <v>75</v>
      </c>
      <c r="I888" t="s">
        <v>76</v>
      </c>
      <c r="J888" t="s">
        <v>77</v>
      </c>
      <c r="K888" t="s">
        <v>78</v>
      </c>
      <c r="L888" t="s">
        <v>128</v>
      </c>
      <c r="M888" t="s">
        <v>129</v>
      </c>
      <c r="N888" t="s">
        <v>1289</v>
      </c>
      <c r="O888" t="s">
        <v>89</v>
      </c>
      <c r="P888" t="str">
        <f>"4170072153                    "</f>
        <v xml:space="preserve">4170072153                    </v>
      </c>
      <c r="Q888">
        <v>0</v>
      </c>
      <c r="R888">
        <v>0</v>
      </c>
      <c r="S888">
        <v>0</v>
      </c>
      <c r="T888">
        <v>0</v>
      </c>
      <c r="U888">
        <v>0</v>
      </c>
      <c r="V888">
        <v>0</v>
      </c>
      <c r="W888">
        <v>0</v>
      </c>
      <c r="X888">
        <v>0</v>
      </c>
      <c r="Y888">
        <v>0</v>
      </c>
      <c r="Z888">
        <v>0</v>
      </c>
      <c r="AA888">
        <v>0</v>
      </c>
      <c r="AB888">
        <v>0</v>
      </c>
      <c r="AC888">
        <v>0</v>
      </c>
      <c r="AD888">
        <v>0</v>
      </c>
      <c r="AE888">
        <v>0</v>
      </c>
      <c r="AF888">
        <v>0</v>
      </c>
      <c r="AG888">
        <v>0</v>
      </c>
      <c r="AH888">
        <v>0</v>
      </c>
      <c r="AI888">
        <v>0</v>
      </c>
      <c r="AJ888">
        <v>0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0</v>
      </c>
      <c r="AQ888">
        <v>57.41</v>
      </c>
      <c r="AR888">
        <v>0</v>
      </c>
      <c r="AS888">
        <v>0</v>
      </c>
      <c r="AT888">
        <v>0</v>
      </c>
      <c r="AU888">
        <v>0</v>
      </c>
      <c r="AV888">
        <v>0</v>
      </c>
      <c r="AW888">
        <v>0</v>
      </c>
      <c r="AX888">
        <v>0</v>
      </c>
      <c r="AY888">
        <v>0</v>
      </c>
      <c r="AZ888">
        <v>0</v>
      </c>
      <c r="BA888">
        <v>0</v>
      </c>
      <c r="BB888">
        <v>0</v>
      </c>
      <c r="BC888">
        <v>0</v>
      </c>
      <c r="BD888">
        <v>0</v>
      </c>
      <c r="BE888">
        <v>0</v>
      </c>
      <c r="BF888">
        <v>0</v>
      </c>
      <c r="BG888">
        <v>0</v>
      </c>
      <c r="BH888">
        <v>1</v>
      </c>
      <c r="BI888">
        <v>3</v>
      </c>
      <c r="BJ888">
        <v>4.0999999999999996</v>
      </c>
      <c r="BK888">
        <v>4.5</v>
      </c>
      <c r="BL888">
        <v>171.1</v>
      </c>
      <c r="BM888">
        <v>25.67</v>
      </c>
      <c r="BN888">
        <v>196.77</v>
      </c>
      <c r="BO888">
        <v>196.77</v>
      </c>
      <c r="BQ888" t="s">
        <v>1290</v>
      </c>
      <c r="BR888" t="s">
        <v>82</v>
      </c>
      <c r="BS888" s="3">
        <v>45999</v>
      </c>
      <c r="BT888" s="4">
        <v>0.43402777777777779</v>
      </c>
      <c r="BU888" t="s">
        <v>1659</v>
      </c>
      <c r="BV888" t="s">
        <v>84</v>
      </c>
      <c r="BY888">
        <v>20358</v>
      </c>
      <c r="CA888" t="s">
        <v>133</v>
      </c>
      <c r="CC888" t="s">
        <v>129</v>
      </c>
      <c r="CD888">
        <v>5201</v>
      </c>
      <c r="CE888" t="s">
        <v>86</v>
      </c>
      <c r="CF888" s="3">
        <v>46000</v>
      </c>
      <c r="CI888">
        <v>1</v>
      </c>
      <c r="CJ888">
        <v>1</v>
      </c>
      <c r="CK888">
        <v>21</v>
      </c>
      <c r="CL888" t="s">
        <v>87</v>
      </c>
    </row>
    <row r="889" spans="1:90" x14ac:dyDescent="0.3">
      <c r="A889" t="s">
        <v>72</v>
      </c>
      <c r="B889" t="s">
        <v>73</v>
      </c>
      <c r="C889" t="s">
        <v>74</v>
      </c>
      <c r="E889" t="str">
        <f>"080069745264"</f>
        <v>080069745264</v>
      </c>
      <c r="F889" s="3">
        <v>45999</v>
      </c>
      <c r="G889">
        <v>202609</v>
      </c>
      <c r="H889" t="s">
        <v>75</v>
      </c>
      <c r="I889" t="s">
        <v>76</v>
      </c>
      <c r="J889" t="s">
        <v>77</v>
      </c>
      <c r="K889" t="s">
        <v>78</v>
      </c>
      <c r="L889" t="s">
        <v>156</v>
      </c>
      <c r="M889" t="s">
        <v>157</v>
      </c>
      <c r="N889" t="s">
        <v>434</v>
      </c>
      <c r="O889" t="s">
        <v>89</v>
      </c>
      <c r="P889" t="str">
        <f>"4170072233                    "</f>
        <v xml:space="preserve">4170072233                    </v>
      </c>
      <c r="Q889">
        <v>0</v>
      </c>
      <c r="R889">
        <v>0</v>
      </c>
      <c r="S889">
        <v>0</v>
      </c>
      <c r="T889">
        <v>0</v>
      </c>
      <c r="U889">
        <v>0</v>
      </c>
      <c r="V889">
        <v>0</v>
      </c>
      <c r="W889">
        <v>0</v>
      </c>
      <c r="X889">
        <v>0</v>
      </c>
      <c r="Y889">
        <v>0</v>
      </c>
      <c r="Z889">
        <v>0</v>
      </c>
      <c r="AA889">
        <v>0</v>
      </c>
      <c r="AB889">
        <v>0</v>
      </c>
      <c r="AC889">
        <v>0</v>
      </c>
      <c r="AD889">
        <v>0</v>
      </c>
      <c r="AE889">
        <v>0</v>
      </c>
      <c r="AF889">
        <v>0</v>
      </c>
      <c r="AG889">
        <v>0</v>
      </c>
      <c r="AH889">
        <v>0</v>
      </c>
      <c r="AI889">
        <v>0</v>
      </c>
      <c r="AJ889">
        <v>0</v>
      </c>
      <c r="AK889">
        <v>0</v>
      </c>
      <c r="AL889">
        <v>0</v>
      </c>
      <c r="AM889">
        <v>0</v>
      </c>
      <c r="AN889">
        <v>0</v>
      </c>
      <c r="AO889">
        <v>0</v>
      </c>
      <c r="AP889">
        <v>0</v>
      </c>
      <c r="AQ889">
        <v>25.52</v>
      </c>
      <c r="AR889">
        <v>0</v>
      </c>
      <c r="AS889">
        <v>0</v>
      </c>
      <c r="AT889">
        <v>0</v>
      </c>
      <c r="AU889">
        <v>0</v>
      </c>
      <c r="AV889">
        <v>0</v>
      </c>
      <c r="AW889">
        <v>0</v>
      </c>
      <c r="AX889">
        <v>0</v>
      </c>
      <c r="AY889">
        <v>0</v>
      </c>
      <c r="AZ889">
        <v>0</v>
      </c>
      <c r="BA889">
        <v>0</v>
      </c>
      <c r="BB889">
        <v>0</v>
      </c>
      <c r="BC889">
        <v>0</v>
      </c>
      <c r="BD889">
        <v>0</v>
      </c>
      <c r="BE889">
        <v>0</v>
      </c>
      <c r="BF889">
        <v>0</v>
      </c>
      <c r="BG889">
        <v>0</v>
      </c>
      <c r="BH889">
        <v>1</v>
      </c>
      <c r="BI889">
        <v>1</v>
      </c>
      <c r="BJ889">
        <v>0.2</v>
      </c>
      <c r="BK889">
        <v>1</v>
      </c>
      <c r="BL889">
        <v>76.06</v>
      </c>
      <c r="BM889">
        <v>11.41</v>
      </c>
      <c r="BN889">
        <v>87.47</v>
      </c>
      <c r="BO889">
        <v>87.47</v>
      </c>
      <c r="BQ889" t="s">
        <v>435</v>
      </c>
      <c r="BR889" t="s">
        <v>82</v>
      </c>
      <c r="BS889" s="3">
        <v>46000</v>
      </c>
      <c r="BT889" s="4">
        <v>0.39097222222222222</v>
      </c>
      <c r="BU889" t="s">
        <v>1577</v>
      </c>
      <c r="BV889" t="s">
        <v>84</v>
      </c>
      <c r="BY889">
        <v>1200</v>
      </c>
      <c r="CA889" t="s">
        <v>264</v>
      </c>
      <c r="CC889" t="s">
        <v>157</v>
      </c>
      <c r="CD889">
        <v>7441</v>
      </c>
      <c r="CE889" t="s">
        <v>134</v>
      </c>
      <c r="CF889" s="3">
        <v>46001</v>
      </c>
      <c r="CI889">
        <v>1</v>
      </c>
      <c r="CJ889">
        <v>1</v>
      </c>
      <c r="CK889">
        <v>21</v>
      </c>
      <c r="CL889" t="s">
        <v>87</v>
      </c>
    </row>
    <row r="890" spans="1:90" x14ac:dyDescent="0.3">
      <c r="A890" t="s">
        <v>72</v>
      </c>
      <c r="B890" t="s">
        <v>73</v>
      </c>
      <c r="C890" t="s">
        <v>74</v>
      </c>
      <c r="E890" t="str">
        <f>"080069745327"</f>
        <v>080069745327</v>
      </c>
      <c r="F890" s="3">
        <v>45999</v>
      </c>
      <c r="G890">
        <v>202609</v>
      </c>
      <c r="H890" t="s">
        <v>75</v>
      </c>
      <c r="I890" t="s">
        <v>76</v>
      </c>
      <c r="J890" t="s">
        <v>77</v>
      </c>
      <c r="K890" t="s">
        <v>78</v>
      </c>
      <c r="L890" t="s">
        <v>141</v>
      </c>
      <c r="M890" t="s">
        <v>142</v>
      </c>
      <c r="N890" t="s">
        <v>214</v>
      </c>
      <c r="O890" t="s">
        <v>89</v>
      </c>
      <c r="P890" t="str">
        <f>"4170072285                    "</f>
        <v xml:space="preserve">4170072285                    </v>
      </c>
      <c r="Q890">
        <v>0</v>
      </c>
      <c r="R890">
        <v>0</v>
      </c>
      <c r="S890">
        <v>0</v>
      </c>
      <c r="T890">
        <v>0</v>
      </c>
      <c r="U890">
        <v>0</v>
      </c>
      <c r="V890">
        <v>0</v>
      </c>
      <c r="W890">
        <v>0</v>
      </c>
      <c r="X890">
        <v>0</v>
      </c>
      <c r="Y890">
        <v>0</v>
      </c>
      <c r="Z890">
        <v>0</v>
      </c>
      <c r="AA890">
        <v>0</v>
      </c>
      <c r="AB890">
        <v>0</v>
      </c>
      <c r="AC890">
        <v>0</v>
      </c>
      <c r="AD890">
        <v>0</v>
      </c>
      <c r="AE890">
        <v>0</v>
      </c>
      <c r="AF890">
        <v>0</v>
      </c>
      <c r="AG890">
        <v>0</v>
      </c>
      <c r="AH890">
        <v>0</v>
      </c>
      <c r="AI890">
        <v>0</v>
      </c>
      <c r="AJ890">
        <v>0</v>
      </c>
      <c r="AK890">
        <v>0</v>
      </c>
      <c r="AL890">
        <v>0</v>
      </c>
      <c r="AM890">
        <v>0</v>
      </c>
      <c r="AN890">
        <v>0</v>
      </c>
      <c r="AO890">
        <v>0</v>
      </c>
      <c r="AP890">
        <v>0</v>
      </c>
      <c r="AQ890">
        <v>25.52</v>
      </c>
      <c r="AR890">
        <v>0</v>
      </c>
      <c r="AS890">
        <v>0</v>
      </c>
      <c r="AT890">
        <v>0</v>
      </c>
      <c r="AU890">
        <v>0</v>
      </c>
      <c r="AV890">
        <v>0</v>
      </c>
      <c r="AW890">
        <v>0</v>
      </c>
      <c r="AX890">
        <v>0</v>
      </c>
      <c r="AY890">
        <v>0</v>
      </c>
      <c r="AZ890">
        <v>0</v>
      </c>
      <c r="BA890">
        <v>0</v>
      </c>
      <c r="BB890">
        <v>0</v>
      </c>
      <c r="BC890">
        <v>0</v>
      </c>
      <c r="BD890">
        <v>0</v>
      </c>
      <c r="BE890">
        <v>0</v>
      </c>
      <c r="BF890">
        <v>0</v>
      </c>
      <c r="BG890">
        <v>0</v>
      </c>
      <c r="BH890">
        <v>1</v>
      </c>
      <c r="BI890">
        <v>1</v>
      </c>
      <c r="BJ890">
        <v>0.2</v>
      </c>
      <c r="BK890">
        <v>1</v>
      </c>
      <c r="BL890">
        <v>76.06</v>
      </c>
      <c r="BM890">
        <v>11.41</v>
      </c>
      <c r="BN890">
        <v>87.47</v>
      </c>
      <c r="BO890">
        <v>87.47</v>
      </c>
      <c r="BQ890" t="s">
        <v>215</v>
      </c>
      <c r="BR890" t="s">
        <v>82</v>
      </c>
      <c r="BS890" s="3">
        <v>46000</v>
      </c>
      <c r="BT890" s="4">
        <v>0.37361111111111112</v>
      </c>
      <c r="BU890" t="s">
        <v>1660</v>
      </c>
      <c r="BV890" t="s">
        <v>84</v>
      </c>
      <c r="BY890">
        <v>1200</v>
      </c>
      <c r="CA890" t="s">
        <v>489</v>
      </c>
      <c r="CC890" t="s">
        <v>142</v>
      </c>
      <c r="CD890">
        <v>6001</v>
      </c>
      <c r="CE890" t="s">
        <v>134</v>
      </c>
      <c r="CF890" s="3">
        <v>46000</v>
      </c>
      <c r="CI890">
        <v>1</v>
      </c>
      <c r="CJ890">
        <v>1</v>
      </c>
      <c r="CK890">
        <v>21</v>
      </c>
      <c r="CL890" t="s">
        <v>87</v>
      </c>
    </row>
    <row r="891" spans="1:90" x14ac:dyDescent="0.3">
      <c r="A891" t="s">
        <v>72</v>
      </c>
      <c r="B891" t="s">
        <v>73</v>
      </c>
      <c r="C891" t="s">
        <v>74</v>
      </c>
      <c r="E891" t="str">
        <f>"080069745357"</f>
        <v>080069745357</v>
      </c>
      <c r="F891" s="3">
        <v>45999</v>
      </c>
      <c r="G891">
        <v>202609</v>
      </c>
      <c r="H891" t="s">
        <v>75</v>
      </c>
      <c r="I891" t="s">
        <v>76</v>
      </c>
      <c r="J891" t="s">
        <v>77</v>
      </c>
      <c r="K891" t="s">
        <v>78</v>
      </c>
      <c r="L891" t="s">
        <v>535</v>
      </c>
      <c r="M891" t="s">
        <v>535</v>
      </c>
      <c r="N891" t="s">
        <v>1320</v>
      </c>
      <c r="O891" t="s">
        <v>89</v>
      </c>
      <c r="P891" t="str">
        <f>"4170072293                    "</f>
        <v xml:space="preserve">4170072293                    </v>
      </c>
      <c r="Q891">
        <v>0</v>
      </c>
      <c r="R891">
        <v>0</v>
      </c>
      <c r="S891">
        <v>0</v>
      </c>
      <c r="T891">
        <v>0</v>
      </c>
      <c r="U891">
        <v>0</v>
      </c>
      <c r="V891">
        <v>0</v>
      </c>
      <c r="W891">
        <v>0</v>
      </c>
      <c r="X891">
        <v>0</v>
      </c>
      <c r="Y891">
        <v>0</v>
      </c>
      <c r="Z891">
        <v>0</v>
      </c>
      <c r="AA891">
        <v>0</v>
      </c>
      <c r="AB891">
        <v>0</v>
      </c>
      <c r="AC891">
        <v>0</v>
      </c>
      <c r="AD891">
        <v>0</v>
      </c>
      <c r="AE891">
        <v>0</v>
      </c>
      <c r="AF891">
        <v>0</v>
      </c>
      <c r="AG891">
        <v>0</v>
      </c>
      <c r="AH891">
        <v>0</v>
      </c>
      <c r="AI891">
        <v>0</v>
      </c>
      <c r="AJ891">
        <v>0</v>
      </c>
      <c r="AK891">
        <v>0</v>
      </c>
      <c r="AL891">
        <v>0</v>
      </c>
      <c r="AM891">
        <v>0</v>
      </c>
      <c r="AN891">
        <v>0</v>
      </c>
      <c r="AO891">
        <v>0</v>
      </c>
      <c r="AP891">
        <v>0</v>
      </c>
      <c r="AQ891">
        <v>239.27</v>
      </c>
      <c r="AR891">
        <v>0</v>
      </c>
      <c r="AS891">
        <v>0</v>
      </c>
      <c r="AT891">
        <v>0</v>
      </c>
      <c r="AU891">
        <v>0</v>
      </c>
      <c r="AV891">
        <v>0</v>
      </c>
      <c r="AW891">
        <v>0</v>
      </c>
      <c r="AX891">
        <v>0</v>
      </c>
      <c r="AY891">
        <v>0</v>
      </c>
      <c r="AZ891">
        <v>0</v>
      </c>
      <c r="BA891">
        <v>0</v>
      </c>
      <c r="BB891">
        <v>0</v>
      </c>
      <c r="BC891">
        <v>0</v>
      </c>
      <c r="BD891">
        <v>0</v>
      </c>
      <c r="BE891">
        <v>0</v>
      </c>
      <c r="BF891">
        <v>0</v>
      </c>
      <c r="BG891">
        <v>0</v>
      </c>
      <c r="BH891">
        <v>1</v>
      </c>
      <c r="BI891">
        <v>4</v>
      </c>
      <c r="BJ891">
        <v>10.1</v>
      </c>
      <c r="BK891">
        <v>10.5</v>
      </c>
      <c r="BL891">
        <v>713.07</v>
      </c>
      <c r="BM891">
        <v>106.96</v>
      </c>
      <c r="BN891">
        <v>820.03</v>
      </c>
      <c r="BO891">
        <v>820.03</v>
      </c>
      <c r="BQ891" t="s">
        <v>1321</v>
      </c>
      <c r="BR891" t="s">
        <v>82</v>
      </c>
      <c r="BS891" s="3">
        <v>46000</v>
      </c>
      <c r="BT891" s="4">
        <v>0.53611111111111109</v>
      </c>
      <c r="BU891" t="s">
        <v>1661</v>
      </c>
      <c r="BV891" t="s">
        <v>84</v>
      </c>
      <c r="BY891">
        <v>50692</v>
      </c>
      <c r="CA891" t="s">
        <v>539</v>
      </c>
      <c r="CC891" t="s">
        <v>535</v>
      </c>
      <c r="CD891">
        <v>7646</v>
      </c>
      <c r="CE891" t="s">
        <v>86</v>
      </c>
      <c r="CF891" s="3">
        <v>46001</v>
      </c>
      <c r="CI891">
        <v>1</v>
      </c>
      <c r="CJ891">
        <v>1</v>
      </c>
      <c r="CK891">
        <v>23</v>
      </c>
      <c r="CL891" t="s">
        <v>87</v>
      </c>
    </row>
    <row r="892" spans="1:90" x14ac:dyDescent="0.3">
      <c r="A892" t="s">
        <v>72</v>
      </c>
      <c r="B892" t="s">
        <v>73</v>
      </c>
      <c r="C892" t="s">
        <v>74</v>
      </c>
      <c r="E892" t="str">
        <f>"080069745382"</f>
        <v>080069745382</v>
      </c>
      <c r="F892" s="3">
        <v>45999</v>
      </c>
      <c r="G892">
        <v>202609</v>
      </c>
      <c r="H892" t="s">
        <v>75</v>
      </c>
      <c r="I892" t="s">
        <v>76</v>
      </c>
      <c r="J892" t="s">
        <v>77</v>
      </c>
      <c r="K892" t="s">
        <v>78</v>
      </c>
      <c r="L892" t="s">
        <v>914</v>
      </c>
      <c r="M892" t="s">
        <v>915</v>
      </c>
      <c r="N892" t="s">
        <v>1347</v>
      </c>
      <c r="O892" t="s">
        <v>89</v>
      </c>
      <c r="P892" t="str">
        <f>"4170072275                    "</f>
        <v xml:space="preserve">4170072275                    </v>
      </c>
      <c r="Q892">
        <v>0</v>
      </c>
      <c r="R892">
        <v>0</v>
      </c>
      <c r="S892">
        <v>0</v>
      </c>
      <c r="T892">
        <v>0</v>
      </c>
      <c r="U892">
        <v>0</v>
      </c>
      <c r="V892">
        <v>0</v>
      </c>
      <c r="W892">
        <v>0</v>
      </c>
      <c r="X892">
        <v>0</v>
      </c>
      <c r="Y892">
        <v>0</v>
      </c>
      <c r="Z892">
        <v>0</v>
      </c>
      <c r="AA892">
        <v>0</v>
      </c>
      <c r="AB892">
        <v>0</v>
      </c>
      <c r="AC892">
        <v>0</v>
      </c>
      <c r="AD892">
        <v>0</v>
      </c>
      <c r="AE892">
        <v>0</v>
      </c>
      <c r="AF892">
        <v>0</v>
      </c>
      <c r="AG892">
        <v>0</v>
      </c>
      <c r="AH892">
        <v>0</v>
      </c>
      <c r="AI892">
        <v>0</v>
      </c>
      <c r="AJ892">
        <v>0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49.45</v>
      </c>
      <c r="AR892">
        <v>0</v>
      </c>
      <c r="AS892">
        <v>0</v>
      </c>
      <c r="AT892">
        <v>0</v>
      </c>
      <c r="AU892">
        <v>0</v>
      </c>
      <c r="AV892">
        <v>0</v>
      </c>
      <c r="AW892">
        <v>0</v>
      </c>
      <c r="AX892">
        <v>0</v>
      </c>
      <c r="AY892">
        <v>0</v>
      </c>
      <c r="AZ892">
        <v>0</v>
      </c>
      <c r="BA892">
        <v>0</v>
      </c>
      <c r="BB892">
        <v>0</v>
      </c>
      <c r="BC892">
        <v>0</v>
      </c>
      <c r="BD892">
        <v>0</v>
      </c>
      <c r="BE892">
        <v>0</v>
      </c>
      <c r="BF892">
        <v>0</v>
      </c>
      <c r="BG892">
        <v>0</v>
      </c>
      <c r="BH892">
        <v>1</v>
      </c>
      <c r="BI892">
        <v>0.5</v>
      </c>
      <c r="BJ892">
        <v>1.2</v>
      </c>
      <c r="BK892">
        <v>1.5</v>
      </c>
      <c r="BL892">
        <v>147.38</v>
      </c>
      <c r="BM892">
        <v>22.11</v>
      </c>
      <c r="BN892">
        <v>169.49</v>
      </c>
      <c r="BO892">
        <v>169.49</v>
      </c>
      <c r="BQ892" t="s">
        <v>1348</v>
      </c>
      <c r="BR892" t="s">
        <v>82</v>
      </c>
      <c r="BS892" s="3">
        <v>46001</v>
      </c>
      <c r="BT892" s="4">
        <v>0.70833333333333337</v>
      </c>
      <c r="BU892" t="s">
        <v>1662</v>
      </c>
      <c r="BV892" t="s">
        <v>84</v>
      </c>
      <c r="BY892">
        <v>6163.95</v>
      </c>
      <c r="CA892">
        <v>9301165346084</v>
      </c>
      <c r="CC892" t="s">
        <v>915</v>
      </c>
      <c r="CD892">
        <v>3370</v>
      </c>
      <c r="CE892" t="s">
        <v>134</v>
      </c>
      <c r="CF892" s="3">
        <v>46002</v>
      </c>
      <c r="CI892">
        <v>2</v>
      </c>
      <c r="CJ892">
        <v>2</v>
      </c>
      <c r="CK892">
        <v>23</v>
      </c>
      <c r="CL892" t="s">
        <v>87</v>
      </c>
    </row>
    <row r="893" spans="1:90" x14ac:dyDescent="0.3">
      <c r="A893" t="s">
        <v>72</v>
      </c>
      <c r="B893" t="s">
        <v>73</v>
      </c>
      <c r="C893" t="s">
        <v>74</v>
      </c>
      <c r="E893" t="str">
        <f>"080069745408"</f>
        <v>080069745408</v>
      </c>
      <c r="F893" s="3">
        <v>45999</v>
      </c>
      <c r="G893">
        <v>202609</v>
      </c>
      <c r="H893" t="s">
        <v>75</v>
      </c>
      <c r="I893" t="s">
        <v>76</v>
      </c>
      <c r="J893" t="s">
        <v>77</v>
      </c>
      <c r="K893" t="s">
        <v>78</v>
      </c>
      <c r="L893" t="s">
        <v>156</v>
      </c>
      <c r="M893" t="s">
        <v>157</v>
      </c>
      <c r="N893" t="s">
        <v>960</v>
      </c>
      <c r="O893" t="s">
        <v>89</v>
      </c>
      <c r="P893" t="str">
        <f>"4170071993                    "</f>
        <v xml:space="preserve">4170071993                    </v>
      </c>
      <c r="Q893">
        <v>0</v>
      </c>
      <c r="R893">
        <v>0</v>
      </c>
      <c r="S893">
        <v>0</v>
      </c>
      <c r="T893">
        <v>0</v>
      </c>
      <c r="U893">
        <v>0</v>
      </c>
      <c r="V893">
        <v>0</v>
      </c>
      <c r="W893">
        <v>0</v>
      </c>
      <c r="X893">
        <v>0</v>
      </c>
      <c r="Y893">
        <v>0</v>
      </c>
      <c r="Z893">
        <v>0</v>
      </c>
      <c r="AA893">
        <v>0</v>
      </c>
      <c r="AB893">
        <v>0</v>
      </c>
      <c r="AC893">
        <v>0</v>
      </c>
      <c r="AD893">
        <v>0</v>
      </c>
      <c r="AE893">
        <v>0</v>
      </c>
      <c r="AF893">
        <v>0</v>
      </c>
      <c r="AG893">
        <v>0</v>
      </c>
      <c r="AH893">
        <v>0</v>
      </c>
      <c r="AI893">
        <v>0</v>
      </c>
      <c r="AJ893">
        <v>0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25.52</v>
      </c>
      <c r="AR893">
        <v>0</v>
      </c>
      <c r="AS893">
        <v>0</v>
      </c>
      <c r="AT893">
        <v>0</v>
      </c>
      <c r="AU893">
        <v>0</v>
      </c>
      <c r="AV893">
        <v>0</v>
      </c>
      <c r="AW893">
        <v>0</v>
      </c>
      <c r="AX893">
        <v>0</v>
      </c>
      <c r="AY893">
        <v>0</v>
      </c>
      <c r="AZ893">
        <v>0</v>
      </c>
      <c r="BA893">
        <v>0</v>
      </c>
      <c r="BB893">
        <v>0</v>
      </c>
      <c r="BC893">
        <v>0</v>
      </c>
      <c r="BD893">
        <v>0</v>
      </c>
      <c r="BE893">
        <v>0</v>
      </c>
      <c r="BF893">
        <v>0</v>
      </c>
      <c r="BG893">
        <v>0</v>
      </c>
      <c r="BH893">
        <v>1</v>
      </c>
      <c r="BI893">
        <v>1</v>
      </c>
      <c r="BJ893">
        <v>0.9</v>
      </c>
      <c r="BK893">
        <v>1</v>
      </c>
      <c r="BL893">
        <v>76.06</v>
      </c>
      <c r="BM893">
        <v>11.41</v>
      </c>
      <c r="BN893">
        <v>87.47</v>
      </c>
      <c r="BO893">
        <v>87.47</v>
      </c>
      <c r="BQ893" t="s">
        <v>961</v>
      </c>
      <c r="BR893" t="s">
        <v>82</v>
      </c>
      <c r="BS893" s="3">
        <v>46000</v>
      </c>
      <c r="BT893" s="4">
        <v>0.34930555555555554</v>
      </c>
      <c r="BU893" t="s">
        <v>1629</v>
      </c>
      <c r="BV893" t="s">
        <v>84</v>
      </c>
      <c r="BY893">
        <v>4560</v>
      </c>
      <c r="CA893" t="s">
        <v>346</v>
      </c>
      <c r="CC893" t="s">
        <v>157</v>
      </c>
      <c r="CD893">
        <v>7530</v>
      </c>
      <c r="CE893" t="s">
        <v>86</v>
      </c>
      <c r="CF893" s="3">
        <v>46001</v>
      </c>
      <c r="CI893">
        <v>1</v>
      </c>
      <c r="CJ893">
        <v>1</v>
      </c>
      <c r="CK893">
        <v>21</v>
      </c>
      <c r="CL893" t="s">
        <v>87</v>
      </c>
    </row>
    <row r="894" spans="1:90" x14ac:dyDescent="0.3">
      <c r="A894" t="s">
        <v>72</v>
      </c>
      <c r="B894" t="s">
        <v>73</v>
      </c>
      <c r="C894" t="s">
        <v>74</v>
      </c>
      <c r="E894" t="str">
        <f>"080069745531"</f>
        <v>080069745531</v>
      </c>
      <c r="F894" s="3">
        <v>45999</v>
      </c>
      <c r="G894">
        <v>202609</v>
      </c>
      <c r="H894" t="s">
        <v>75</v>
      </c>
      <c r="I894" t="s">
        <v>76</v>
      </c>
      <c r="J894" t="s">
        <v>77</v>
      </c>
      <c r="K894" t="s">
        <v>78</v>
      </c>
      <c r="L894" t="s">
        <v>75</v>
      </c>
      <c r="M894" t="s">
        <v>76</v>
      </c>
      <c r="N894" t="s">
        <v>1663</v>
      </c>
      <c r="O894" t="s">
        <v>89</v>
      </c>
      <c r="P894" t="str">
        <f>"4170072283                    "</f>
        <v xml:space="preserve">4170072283                    </v>
      </c>
      <c r="Q894">
        <v>0</v>
      </c>
      <c r="R894">
        <v>0</v>
      </c>
      <c r="S894">
        <v>0</v>
      </c>
      <c r="T894">
        <v>0</v>
      </c>
      <c r="U894">
        <v>0</v>
      </c>
      <c r="V894">
        <v>0</v>
      </c>
      <c r="W894">
        <v>0</v>
      </c>
      <c r="X894">
        <v>0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>
        <v>0</v>
      </c>
      <c r="AG894">
        <v>0</v>
      </c>
      <c r="AH894">
        <v>0</v>
      </c>
      <c r="AI894">
        <v>0</v>
      </c>
      <c r="AJ894">
        <v>0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19.940000000000001</v>
      </c>
      <c r="AR894">
        <v>0</v>
      </c>
      <c r="AS894">
        <v>0</v>
      </c>
      <c r="AT894">
        <v>0</v>
      </c>
      <c r="AU894">
        <v>0</v>
      </c>
      <c r="AV894">
        <v>0</v>
      </c>
      <c r="AW894">
        <v>0</v>
      </c>
      <c r="AX894">
        <v>0</v>
      </c>
      <c r="AY894">
        <v>0</v>
      </c>
      <c r="AZ894">
        <v>0</v>
      </c>
      <c r="BA894">
        <v>0</v>
      </c>
      <c r="BB894">
        <v>0</v>
      </c>
      <c r="BC894">
        <v>0</v>
      </c>
      <c r="BD894">
        <v>0</v>
      </c>
      <c r="BE894">
        <v>0</v>
      </c>
      <c r="BF894">
        <v>0</v>
      </c>
      <c r="BG894">
        <v>0</v>
      </c>
      <c r="BH894">
        <v>1</v>
      </c>
      <c r="BI894">
        <v>1</v>
      </c>
      <c r="BJ894">
        <v>1.8</v>
      </c>
      <c r="BK894">
        <v>2</v>
      </c>
      <c r="BL894">
        <v>59.42</v>
      </c>
      <c r="BM894">
        <v>8.91</v>
      </c>
      <c r="BN894">
        <v>68.33</v>
      </c>
      <c r="BO894">
        <v>68.33</v>
      </c>
      <c r="BQ894" t="s">
        <v>1664</v>
      </c>
      <c r="BR894" t="s">
        <v>82</v>
      </c>
      <c r="BS894" s="3">
        <v>46000</v>
      </c>
      <c r="BT894" s="4">
        <v>0.39930555555555558</v>
      </c>
      <c r="BU894" t="s">
        <v>449</v>
      </c>
      <c r="BV894" t="s">
        <v>84</v>
      </c>
      <c r="BY894">
        <v>8816</v>
      </c>
      <c r="CA894" t="s">
        <v>606</v>
      </c>
      <c r="CC894" t="s">
        <v>76</v>
      </c>
      <c r="CD894">
        <v>1600</v>
      </c>
      <c r="CE894" t="s">
        <v>86</v>
      </c>
      <c r="CF894" s="3">
        <v>46000</v>
      </c>
      <c r="CI894">
        <v>1</v>
      </c>
      <c r="CJ894">
        <v>1</v>
      </c>
      <c r="CK894">
        <v>22</v>
      </c>
      <c r="CL894" t="s">
        <v>87</v>
      </c>
    </row>
    <row r="895" spans="1:90" x14ac:dyDescent="0.3">
      <c r="A895" t="s">
        <v>72</v>
      </c>
      <c r="B895" t="s">
        <v>73</v>
      </c>
      <c r="C895" t="s">
        <v>74</v>
      </c>
      <c r="E895" t="str">
        <f>"080069745589"</f>
        <v>080069745589</v>
      </c>
      <c r="F895" s="3">
        <v>45999</v>
      </c>
      <c r="G895">
        <v>202609</v>
      </c>
      <c r="H895" t="s">
        <v>75</v>
      </c>
      <c r="I895" t="s">
        <v>76</v>
      </c>
      <c r="J895" t="s">
        <v>77</v>
      </c>
      <c r="K895" t="s">
        <v>78</v>
      </c>
      <c r="L895" t="s">
        <v>156</v>
      </c>
      <c r="M895" t="s">
        <v>157</v>
      </c>
      <c r="N895" t="s">
        <v>261</v>
      </c>
      <c r="O895" t="s">
        <v>89</v>
      </c>
      <c r="P895" t="str">
        <f>"4170072288                    "</f>
        <v xml:space="preserve">4170072288                    </v>
      </c>
      <c r="Q895">
        <v>0</v>
      </c>
      <c r="R895">
        <v>0</v>
      </c>
      <c r="S895">
        <v>0</v>
      </c>
      <c r="T895">
        <v>0</v>
      </c>
      <c r="U895">
        <v>0</v>
      </c>
      <c r="V895">
        <v>0</v>
      </c>
      <c r="W895">
        <v>0</v>
      </c>
      <c r="X895">
        <v>0</v>
      </c>
      <c r="Y895">
        <v>0</v>
      </c>
      <c r="Z895">
        <v>0</v>
      </c>
      <c r="AA895">
        <v>0</v>
      </c>
      <c r="AB895">
        <v>0</v>
      </c>
      <c r="AC895">
        <v>0</v>
      </c>
      <c r="AD895">
        <v>0</v>
      </c>
      <c r="AE895">
        <v>0</v>
      </c>
      <c r="AF895">
        <v>0</v>
      </c>
      <c r="AG895">
        <v>0</v>
      </c>
      <c r="AH895">
        <v>0</v>
      </c>
      <c r="AI895">
        <v>0</v>
      </c>
      <c r="AJ895">
        <v>0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25.52</v>
      </c>
      <c r="AR895">
        <v>0</v>
      </c>
      <c r="AS895">
        <v>0</v>
      </c>
      <c r="AT895">
        <v>0</v>
      </c>
      <c r="AU895">
        <v>0</v>
      </c>
      <c r="AV895">
        <v>0</v>
      </c>
      <c r="AW895">
        <v>0</v>
      </c>
      <c r="AX895">
        <v>0</v>
      </c>
      <c r="AY895">
        <v>0</v>
      </c>
      <c r="AZ895">
        <v>0</v>
      </c>
      <c r="BA895">
        <v>0</v>
      </c>
      <c r="BB895">
        <v>0</v>
      </c>
      <c r="BC895">
        <v>0</v>
      </c>
      <c r="BD895">
        <v>0</v>
      </c>
      <c r="BE895">
        <v>0</v>
      </c>
      <c r="BF895">
        <v>0</v>
      </c>
      <c r="BG895">
        <v>0</v>
      </c>
      <c r="BH895">
        <v>1</v>
      </c>
      <c r="BI895">
        <v>1</v>
      </c>
      <c r="BJ895">
        <v>1.1000000000000001</v>
      </c>
      <c r="BK895">
        <v>1.5</v>
      </c>
      <c r="BL895">
        <v>76.06</v>
      </c>
      <c r="BM895">
        <v>11.41</v>
      </c>
      <c r="BN895">
        <v>87.47</v>
      </c>
      <c r="BO895">
        <v>87.47</v>
      </c>
      <c r="BQ895" t="s">
        <v>262</v>
      </c>
      <c r="BR895" t="s">
        <v>82</v>
      </c>
      <c r="BS895" s="3">
        <v>46000</v>
      </c>
      <c r="BT895" s="4">
        <v>0.40069444444444446</v>
      </c>
      <c r="BU895" t="s">
        <v>1130</v>
      </c>
      <c r="BV895" t="s">
        <v>84</v>
      </c>
      <c r="BY895">
        <v>5510</v>
      </c>
      <c r="CA895" t="s">
        <v>264</v>
      </c>
      <c r="CC895" t="s">
        <v>157</v>
      </c>
      <c r="CD895">
        <v>7441</v>
      </c>
      <c r="CE895" t="s">
        <v>86</v>
      </c>
      <c r="CF895" s="3">
        <v>46001</v>
      </c>
      <c r="CI895">
        <v>1</v>
      </c>
      <c r="CJ895">
        <v>1</v>
      </c>
      <c r="CK895">
        <v>21</v>
      </c>
      <c r="CL895" t="s">
        <v>87</v>
      </c>
    </row>
    <row r="896" spans="1:90" x14ac:dyDescent="0.3">
      <c r="A896" t="s">
        <v>72</v>
      </c>
      <c r="B896" t="s">
        <v>73</v>
      </c>
      <c r="C896" t="s">
        <v>74</v>
      </c>
      <c r="E896" t="str">
        <f>"080069745663"</f>
        <v>080069745663</v>
      </c>
      <c r="F896" s="3">
        <v>45999</v>
      </c>
      <c r="G896">
        <v>202609</v>
      </c>
      <c r="H896" t="s">
        <v>75</v>
      </c>
      <c r="I896" t="s">
        <v>76</v>
      </c>
      <c r="J896" t="s">
        <v>77</v>
      </c>
      <c r="K896" t="s">
        <v>78</v>
      </c>
      <c r="L896" t="s">
        <v>75</v>
      </c>
      <c r="M896" t="s">
        <v>76</v>
      </c>
      <c r="N896" t="s">
        <v>328</v>
      </c>
      <c r="O896" t="s">
        <v>340</v>
      </c>
      <c r="P896" t="str">
        <f>"4170072172                    "</f>
        <v xml:space="preserve">4170072172                    </v>
      </c>
      <c r="Q896">
        <v>0</v>
      </c>
      <c r="R896">
        <v>0</v>
      </c>
      <c r="S896">
        <v>0</v>
      </c>
      <c r="T896">
        <v>0</v>
      </c>
      <c r="U896">
        <v>0</v>
      </c>
      <c r="V896">
        <v>0</v>
      </c>
      <c r="W896">
        <v>0</v>
      </c>
      <c r="X896">
        <v>0</v>
      </c>
      <c r="Y896">
        <v>0</v>
      </c>
      <c r="Z896">
        <v>0</v>
      </c>
      <c r="AA896">
        <v>0</v>
      </c>
      <c r="AB896">
        <v>0</v>
      </c>
      <c r="AC896">
        <v>0</v>
      </c>
      <c r="AD896">
        <v>0</v>
      </c>
      <c r="AE896">
        <v>0</v>
      </c>
      <c r="AF896">
        <v>0</v>
      </c>
      <c r="AG896">
        <v>0</v>
      </c>
      <c r="AH896">
        <v>0</v>
      </c>
      <c r="AI896">
        <v>0</v>
      </c>
      <c r="AJ896">
        <v>0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19.940000000000001</v>
      </c>
      <c r="AR896">
        <v>0</v>
      </c>
      <c r="AS896">
        <v>0</v>
      </c>
      <c r="AT896">
        <v>0</v>
      </c>
      <c r="AU896">
        <v>0</v>
      </c>
      <c r="AV896">
        <v>0</v>
      </c>
      <c r="AW896">
        <v>0</v>
      </c>
      <c r="AX896">
        <v>0</v>
      </c>
      <c r="AY896">
        <v>0</v>
      </c>
      <c r="AZ896">
        <v>0</v>
      </c>
      <c r="BA896">
        <v>0</v>
      </c>
      <c r="BB896">
        <v>0</v>
      </c>
      <c r="BC896">
        <v>0</v>
      </c>
      <c r="BD896">
        <v>0</v>
      </c>
      <c r="BE896">
        <v>0</v>
      </c>
      <c r="BF896">
        <v>0</v>
      </c>
      <c r="BG896">
        <v>0</v>
      </c>
      <c r="BH896">
        <v>1</v>
      </c>
      <c r="BI896">
        <v>3</v>
      </c>
      <c r="BJ896">
        <v>2.7</v>
      </c>
      <c r="BK896">
        <v>3</v>
      </c>
      <c r="BL896">
        <v>59.43</v>
      </c>
      <c r="BM896">
        <v>8.91</v>
      </c>
      <c r="BN896">
        <v>68.34</v>
      </c>
      <c r="BO896">
        <v>68.34</v>
      </c>
      <c r="BQ896" t="s">
        <v>329</v>
      </c>
      <c r="BR896" t="s">
        <v>82</v>
      </c>
      <c r="BS896" s="3">
        <v>46000</v>
      </c>
      <c r="BT896" s="4">
        <v>0.45</v>
      </c>
      <c r="BU896" t="s">
        <v>1665</v>
      </c>
      <c r="BV896" t="s">
        <v>84</v>
      </c>
      <c r="BY896">
        <v>13720</v>
      </c>
      <c r="CA896" t="s">
        <v>331</v>
      </c>
      <c r="CC896" t="s">
        <v>76</v>
      </c>
      <c r="CD896">
        <v>1645</v>
      </c>
      <c r="CE896" t="s">
        <v>93</v>
      </c>
      <c r="CF896" s="3">
        <v>46000</v>
      </c>
      <c r="CI896">
        <v>1</v>
      </c>
      <c r="CJ896">
        <v>1</v>
      </c>
      <c r="CK896">
        <v>32</v>
      </c>
      <c r="CL896" t="s">
        <v>87</v>
      </c>
    </row>
    <row r="897" spans="1:90" x14ac:dyDescent="0.3">
      <c r="A897" t="s">
        <v>72</v>
      </c>
      <c r="B897" t="s">
        <v>73</v>
      </c>
      <c r="C897" t="s">
        <v>74</v>
      </c>
      <c r="E897" t="str">
        <f>"080069745739"</f>
        <v>080069745739</v>
      </c>
      <c r="F897" s="3">
        <v>45999</v>
      </c>
      <c r="G897">
        <v>202609</v>
      </c>
      <c r="H897" t="s">
        <v>75</v>
      </c>
      <c r="I897" t="s">
        <v>76</v>
      </c>
      <c r="J897" t="s">
        <v>77</v>
      </c>
      <c r="K897" t="s">
        <v>78</v>
      </c>
      <c r="L897" t="s">
        <v>283</v>
      </c>
      <c r="M897" t="s">
        <v>284</v>
      </c>
      <c r="N897" t="s">
        <v>1666</v>
      </c>
      <c r="O897" t="s">
        <v>89</v>
      </c>
      <c r="P897" t="str">
        <f>"4170072237                    "</f>
        <v xml:space="preserve">4170072237                    </v>
      </c>
      <c r="Q897">
        <v>0</v>
      </c>
      <c r="R897">
        <v>0</v>
      </c>
      <c r="S897">
        <v>0</v>
      </c>
      <c r="T897">
        <v>0</v>
      </c>
      <c r="U897">
        <v>0</v>
      </c>
      <c r="V897">
        <v>0</v>
      </c>
      <c r="W897">
        <v>0</v>
      </c>
      <c r="X897">
        <v>0</v>
      </c>
      <c r="Y897">
        <v>0</v>
      </c>
      <c r="Z897">
        <v>0</v>
      </c>
      <c r="AA897">
        <v>0</v>
      </c>
      <c r="AB897">
        <v>0</v>
      </c>
      <c r="AC897">
        <v>0</v>
      </c>
      <c r="AD897">
        <v>0</v>
      </c>
      <c r="AE897">
        <v>0</v>
      </c>
      <c r="AF897">
        <v>0</v>
      </c>
      <c r="AG897">
        <v>0</v>
      </c>
      <c r="AH897">
        <v>0</v>
      </c>
      <c r="AI897">
        <v>0</v>
      </c>
      <c r="AJ897">
        <v>0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161.11000000000001</v>
      </c>
      <c r="AR897">
        <v>0</v>
      </c>
      <c r="AS897">
        <v>0</v>
      </c>
      <c r="AT897">
        <v>0</v>
      </c>
      <c r="AU897">
        <v>0</v>
      </c>
      <c r="AV897">
        <v>0</v>
      </c>
      <c r="AW897">
        <v>0</v>
      </c>
      <c r="AX897">
        <v>0</v>
      </c>
      <c r="AY897">
        <v>0</v>
      </c>
      <c r="AZ897">
        <v>0</v>
      </c>
      <c r="BA897">
        <v>0</v>
      </c>
      <c r="BB897">
        <v>0</v>
      </c>
      <c r="BC897">
        <v>0</v>
      </c>
      <c r="BD897">
        <v>0</v>
      </c>
      <c r="BE897">
        <v>0</v>
      </c>
      <c r="BF897">
        <v>0</v>
      </c>
      <c r="BG897">
        <v>0</v>
      </c>
      <c r="BH897">
        <v>2</v>
      </c>
      <c r="BI897">
        <v>6</v>
      </c>
      <c r="BJ897">
        <v>6.8</v>
      </c>
      <c r="BK897">
        <v>7</v>
      </c>
      <c r="BL897">
        <v>480.14</v>
      </c>
      <c r="BM897">
        <v>72.02</v>
      </c>
      <c r="BN897">
        <v>552.16</v>
      </c>
      <c r="BO897">
        <v>552.16</v>
      </c>
      <c r="BQ897" t="s">
        <v>1667</v>
      </c>
      <c r="BR897" t="s">
        <v>82</v>
      </c>
      <c r="BS897" s="3">
        <v>46000</v>
      </c>
      <c r="BT897" s="4">
        <v>0.4201388888888889</v>
      </c>
      <c r="BU897" t="s">
        <v>1308</v>
      </c>
      <c r="BV897" t="s">
        <v>84</v>
      </c>
      <c r="BY897">
        <v>16965</v>
      </c>
      <c r="CC897" t="s">
        <v>284</v>
      </c>
      <c r="CD897">
        <v>1947</v>
      </c>
      <c r="CE897" t="s">
        <v>956</v>
      </c>
      <c r="CF897" s="3">
        <v>46001</v>
      </c>
      <c r="CI897">
        <v>1</v>
      </c>
      <c r="CJ897">
        <v>1</v>
      </c>
      <c r="CK897">
        <v>23</v>
      </c>
      <c r="CL897" t="s">
        <v>87</v>
      </c>
    </row>
    <row r="898" spans="1:90" x14ac:dyDescent="0.3">
      <c r="A898" t="s">
        <v>72</v>
      </c>
      <c r="B898" t="s">
        <v>73</v>
      </c>
      <c r="C898" t="s">
        <v>74</v>
      </c>
      <c r="E898" t="str">
        <f>"080069745804"</f>
        <v>080069745804</v>
      </c>
      <c r="F898" s="3">
        <v>45999</v>
      </c>
      <c r="G898">
        <v>202609</v>
      </c>
      <c r="H898" t="s">
        <v>75</v>
      </c>
      <c r="I898" t="s">
        <v>76</v>
      </c>
      <c r="J898" t="s">
        <v>77</v>
      </c>
      <c r="K898" t="s">
        <v>78</v>
      </c>
      <c r="L898" t="s">
        <v>100</v>
      </c>
      <c r="M898" t="s">
        <v>101</v>
      </c>
      <c r="N898" t="s">
        <v>102</v>
      </c>
      <c r="O898" t="s">
        <v>89</v>
      </c>
      <c r="P898" t="str">
        <f>"4170072249                    "</f>
        <v xml:space="preserve">4170072249                    </v>
      </c>
      <c r="Q898">
        <v>0</v>
      </c>
      <c r="R898">
        <v>0</v>
      </c>
      <c r="S898">
        <v>0</v>
      </c>
      <c r="T898">
        <v>0</v>
      </c>
      <c r="U898">
        <v>0</v>
      </c>
      <c r="V898">
        <v>0</v>
      </c>
      <c r="W898">
        <v>0</v>
      </c>
      <c r="X898">
        <v>0</v>
      </c>
      <c r="Y898">
        <v>0</v>
      </c>
      <c r="Z898">
        <v>0</v>
      </c>
      <c r="AA898">
        <v>0</v>
      </c>
      <c r="AB898">
        <v>0</v>
      </c>
      <c r="AC898">
        <v>0</v>
      </c>
      <c r="AD898">
        <v>0</v>
      </c>
      <c r="AE898">
        <v>0</v>
      </c>
      <c r="AF898">
        <v>0</v>
      </c>
      <c r="AG898">
        <v>0</v>
      </c>
      <c r="AH898">
        <v>0</v>
      </c>
      <c r="AI898">
        <v>0</v>
      </c>
      <c r="AJ898">
        <v>0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25.52</v>
      </c>
      <c r="AR898">
        <v>0</v>
      </c>
      <c r="AS898">
        <v>0</v>
      </c>
      <c r="AT898">
        <v>0</v>
      </c>
      <c r="AU898">
        <v>0</v>
      </c>
      <c r="AV898">
        <v>0</v>
      </c>
      <c r="AW898">
        <v>0</v>
      </c>
      <c r="AX898">
        <v>0</v>
      </c>
      <c r="AY898">
        <v>0</v>
      </c>
      <c r="AZ898">
        <v>0</v>
      </c>
      <c r="BA898">
        <v>0</v>
      </c>
      <c r="BB898">
        <v>0</v>
      </c>
      <c r="BC898">
        <v>0</v>
      </c>
      <c r="BD898">
        <v>0</v>
      </c>
      <c r="BE898">
        <v>0</v>
      </c>
      <c r="BF898">
        <v>0</v>
      </c>
      <c r="BG898">
        <v>0</v>
      </c>
      <c r="BH898">
        <v>1</v>
      </c>
      <c r="BI898">
        <v>2</v>
      </c>
      <c r="BJ898">
        <v>0.9</v>
      </c>
      <c r="BK898">
        <v>2</v>
      </c>
      <c r="BL898">
        <v>76.06</v>
      </c>
      <c r="BM898">
        <v>11.41</v>
      </c>
      <c r="BN898">
        <v>87.47</v>
      </c>
      <c r="BO898">
        <v>87.47</v>
      </c>
      <c r="BQ898" t="s">
        <v>103</v>
      </c>
      <c r="BR898" t="s">
        <v>82</v>
      </c>
      <c r="BS898" s="3">
        <v>46000</v>
      </c>
      <c r="BT898" s="4">
        <v>0.35833333333333334</v>
      </c>
      <c r="BU898" t="s">
        <v>104</v>
      </c>
      <c r="BV898" t="s">
        <v>84</v>
      </c>
      <c r="BY898">
        <v>4275</v>
      </c>
      <c r="CA898" t="s">
        <v>107</v>
      </c>
      <c r="CC898" t="s">
        <v>101</v>
      </c>
      <c r="CD898">
        <v>4051</v>
      </c>
      <c r="CE898" t="s">
        <v>86</v>
      </c>
      <c r="CF898" s="3">
        <v>46001</v>
      </c>
      <c r="CI898">
        <v>1</v>
      </c>
      <c r="CJ898">
        <v>1</v>
      </c>
      <c r="CK898">
        <v>21</v>
      </c>
      <c r="CL898" t="s">
        <v>87</v>
      </c>
    </row>
    <row r="899" spans="1:90" x14ac:dyDescent="0.3">
      <c r="A899" t="s">
        <v>72</v>
      </c>
      <c r="B899" t="s">
        <v>73</v>
      </c>
      <c r="C899" t="s">
        <v>74</v>
      </c>
      <c r="E899" t="str">
        <f>"080069746236"</f>
        <v>080069746236</v>
      </c>
      <c r="F899" s="3">
        <v>45999</v>
      </c>
      <c r="G899">
        <v>202609</v>
      </c>
      <c r="H899" t="s">
        <v>75</v>
      </c>
      <c r="I899" t="s">
        <v>76</v>
      </c>
      <c r="J899" t="s">
        <v>77</v>
      </c>
      <c r="K899" t="s">
        <v>78</v>
      </c>
      <c r="L899" t="s">
        <v>75</v>
      </c>
      <c r="M899" t="s">
        <v>76</v>
      </c>
      <c r="N899" t="s">
        <v>1663</v>
      </c>
      <c r="O899" t="s">
        <v>89</v>
      </c>
      <c r="P899" t="str">
        <f>"4170072282                    "</f>
        <v xml:space="preserve">4170072282                    </v>
      </c>
      <c r="Q899">
        <v>0</v>
      </c>
      <c r="R899">
        <v>0</v>
      </c>
      <c r="S899">
        <v>0</v>
      </c>
      <c r="T899">
        <v>0</v>
      </c>
      <c r="U899">
        <v>0</v>
      </c>
      <c r="V899">
        <v>0</v>
      </c>
      <c r="W899">
        <v>0</v>
      </c>
      <c r="X899">
        <v>0</v>
      </c>
      <c r="Y899">
        <v>0</v>
      </c>
      <c r="Z899">
        <v>0</v>
      </c>
      <c r="AA899">
        <v>0</v>
      </c>
      <c r="AB899">
        <v>0</v>
      </c>
      <c r="AC899">
        <v>0</v>
      </c>
      <c r="AD899">
        <v>0</v>
      </c>
      <c r="AE899">
        <v>0</v>
      </c>
      <c r="AF899">
        <v>0</v>
      </c>
      <c r="AG899">
        <v>0</v>
      </c>
      <c r="AH899">
        <v>0</v>
      </c>
      <c r="AI899">
        <v>0</v>
      </c>
      <c r="AJ899">
        <v>0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19.940000000000001</v>
      </c>
      <c r="AR899">
        <v>0</v>
      </c>
      <c r="AS899">
        <v>0</v>
      </c>
      <c r="AT899">
        <v>0</v>
      </c>
      <c r="AU899">
        <v>0</v>
      </c>
      <c r="AV899">
        <v>0</v>
      </c>
      <c r="AW899">
        <v>0</v>
      </c>
      <c r="AX899">
        <v>0</v>
      </c>
      <c r="AY899">
        <v>0</v>
      </c>
      <c r="AZ899">
        <v>0</v>
      </c>
      <c r="BA899">
        <v>0</v>
      </c>
      <c r="BB899">
        <v>0</v>
      </c>
      <c r="BC899">
        <v>0</v>
      </c>
      <c r="BD899">
        <v>0</v>
      </c>
      <c r="BE899">
        <v>0</v>
      </c>
      <c r="BF899">
        <v>0</v>
      </c>
      <c r="BG899">
        <v>0</v>
      </c>
      <c r="BH899">
        <v>1</v>
      </c>
      <c r="BI899">
        <v>1</v>
      </c>
      <c r="BJ899">
        <v>1.8</v>
      </c>
      <c r="BK899">
        <v>2</v>
      </c>
      <c r="BL899">
        <v>59.42</v>
      </c>
      <c r="BM899">
        <v>8.91</v>
      </c>
      <c r="BN899">
        <v>68.33</v>
      </c>
      <c r="BO899">
        <v>68.33</v>
      </c>
      <c r="BQ899" t="s">
        <v>1664</v>
      </c>
      <c r="BR899" t="s">
        <v>82</v>
      </c>
      <c r="BS899" s="3">
        <v>46000</v>
      </c>
      <c r="BT899" s="4">
        <v>0.41319444444444442</v>
      </c>
      <c r="BU899" t="s">
        <v>449</v>
      </c>
      <c r="BV899" t="s">
        <v>84</v>
      </c>
      <c r="BY899">
        <v>8816</v>
      </c>
      <c r="CA899" t="s">
        <v>606</v>
      </c>
      <c r="CC899" t="s">
        <v>76</v>
      </c>
      <c r="CD899">
        <v>1600</v>
      </c>
      <c r="CE899" t="s">
        <v>86</v>
      </c>
      <c r="CF899" s="3">
        <v>46000</v>
      </c>
      <c r="CI899">
        <v>1</v>
      </c>
      <c r="CJ899">
        <v>1</v>
      </c>
      <c r="CK899">
        <v>22</v>
      </c>
      <c r="CL899" t="s">
        <v>87</v>
      </c>
    </row>
    <row r="900" spans="1:90" x14ac:dyDescent="0.3">
      <c r="A900" t="s">
        <v>72</v>
      </c>
      <c r="B900" t="s">
        <v>73</v>
      </c>
      <c r="C900" t="s">
        <v>74</v>
      </c>
      <c r="E900" t="str">
        <f>"080069746288"</f>
        <v>080069746288</v>
      </c>
      <c r="F900" s="3">
        <v>45999</v>
      </c>
      <c r="G900">
        <v>202609</v>
      </c>
      <c r="H900" t="s">
        <v>75</v>
      </c>
      <c r="I900" t="s">
        <v>76</v>
      </c>
      <c r="J900" t="s">
        <v>77</v>
      </c>
      <c r="K900" t="s">
        <v>78</v>
      </c>
      <c r="L900" t="s">
        <v>75</v>
      </c>
      <c r="M900" t="s">
        <v>76</v>
      </c>
      <c r="N900" t="s">
        <v>1663</v>
      </c>
      <c r="O900" t="s">
        <v>89</v>
      </c>
      <c r="P900" t="str">
        <f>"4170072281                    "</f>
        <v xml:space="preserve">4170072281                    </v>
      </c>
      <c r="Q900">
        <v>0</v>
      </c>
      <c r="R900">
        <v>0</v>
      </c>
      <c r="S900">
        <v>0</v>
      </c>
      <c r="T900">
        <v>0</v>
      </c>
      <c r="U900">
        <v>0</v>
      </c>
      <c r="V900">
        <v>0</v>
      </c>
      <c r="W900">
        <v>0</v>
      </c>
      <c r="X900">
        <v>0</v>
      </c>
      <c r="Y900">
        <v>0</v>
      </c>
      <c r="Z900">
        <v>0</v>
      </c>
      <c r="AA900">
        <v>0</v>
      </c>
      <c r="AB900">
        <v>0</v>
      </c>
      <c r="AC900">
        <v>0</v>
      </c>
      <c r="AD900">
        <v>0</v>
      </c>
      <c r="AE900">
        <v>0</v>
      </c>
      <c r="AF900">
        <v>0</v>
      </c>
      <c r="AG900">
        <v>0</v>
      </c>
      <c r="AH900">
        <v>0</v>
      </c>
      <c r="AI900">
        <v>0</v>
      </c>
      <c r="AJ900">
        <v>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19.940000000000001</v>
      </c>
      <c r="AR900">
        <v>0</v>
      </c>
      <c r="AS900">
        <v>0</v>
      </c>
      <c r="AT900">
        <v>0</v>
      </c>
      <c r="AU900">
        <v>0</v>
      </c>
      <c r="AV900">
        <v>0</v>
      </c>
      <c r="AW900">
        <v>0</v>
      </c>
      <c r="AX900">
        <v>0</v>
      </c>
      <c r="AY900">
        <v>0</v>
      </c>
      <c r="AZ900">
        <v>0</v>
      </c>
      <c r="BA900">
        <v>0</v>
      </c>
      <c r="BB900">
        <v>0</v>
      </c>
      <c r="BC900">
        <v>0</v>
      </c>
      <c r="BD900">
        <v>0</v>
      </c>
      <c r="BE900">
        <v>0</v>
      </c>
      <c r="BF900">
        <v>0</v>
      </c>
      <c r="BG900">
        <v>0</v>
      </c>
      <c r="BH900">
        <v>1</v>
      </c>
      <c r="BI900">
        <v>1</v>
      </c>
      <c r="BJ900">
        <v>1.8</v>
      </c>
      <c r="BK900">
        <v>2</v>
      </c>
      <c r="BL900">
        <v>59.42</v>
      </c>
      <c r="BM900">
        <v>8.91</v>
      </c>
      <c r="BN900">
        <v>68.33</v>
      </c>
      <c r="BO900">
        <v>68.33</v>
      </c>
      <c r="BQ900" t="s">
        <v>1664</v>
      </c>
      <c r="BR900" t="s">
        <v>82</v>
      </c>
      <c r="BS900" s="3">
        <v>46000</v>
      </c>
      <c r="BT900" s="4">
        <v>0.39930555555555558</v>
      </c>
      <c r="BU900" t="s">
        <v>449</v>
      </c>
      <c r="BV900" t="s">
        <v>84</v>
      </c>
      <c r="BY900">
        <v>8816</v>
      </c>
      <c r="CA900" t="s">
        <v>606</v>
      </c>
      <c r="CC900" t="s">
        <v>76</v>
      </c>
      <c r="CD900">
        <v>1600</v>
      </c>
      <c r="CE900" t="s">
        <v>86</v>
      </c>
      <c r="CF900" s="3">
        <v>46000</v>
      </c>
      <c r="CI900">
        <v>1</v>
      </c>
      <c r="CJ900">
        <v>1</v>
      </c>
      <c r="CK900">
        <v>22</v>
      </c>
      <c r="CL900" t="s">
        <v>87</v>
      </c>
    </row>
    <row r="901" spans="1:90" x14ac:dyDescent="0.3">
      <c r="A901" t="s">
        <v>72</v>
      </c>
      <c r="B901" t="s">
        <v>73</v>
      </c>
      <c r="C901" t="s">
        <v>74</v>
      </c>
      <c r="E901" t="str">
        <f>"080069746329"</f>
        <v>080069746329</v>
      </c>
      <c r="F901" s="3">
        <v>45999</v>
      </c>
      <c r="G901">
        <v>202609</v>
      </c>
      <c r="H901" t="s">
        <v>75</v>
      </c>
      <c r="I901" t="s">
        <v>76</v>
      </c>
      <c r="J901" t="s">
        <v>77</v>
      </c>
      <c r="K901" t="s">
        <v>78</v>
      </c>
      <c r="L901" t="s">
        <v>612</v>
      </c>
      <c r="M901" t="s">
        <v>613</v>
      </c>
      <c r="N901" t="s">
        <v>1668</v>
      </c>
      <c r="O901" t="s">
        <v>89</v>
      </c>
      <c r="P901" t="str">
        <f>"4170072298                    "</f>
        <v xml:space="preserve">4170072298                    </v>
      </c>
      <c r="Q901">
        <v>0</v>
      </c>
      <c r="R901">
        <v>0</v>
      </c>
      <c r="S901">
        <v>0</v>
      </c>
      <c r="T901">
        <v>0</v>
      </c>
      <c r="U901">
        <v>0</v>
      </c>
      <c r="V901">
        <v>0</v>
      </c>
      <c r="W901">
        <v>0</v>
      </c>
      <c r="X901">
        <v>0</v>
      </c>
      <c r="Y901">
        <v>0</v>
      </c>
      <c r="Z901">
        <v>0</v>
      </c>
      <c r="AA901">
        <v>0</v>
      </c>
      <c r="AB901">
        <v>0</v>
      </c>
      <c r="AC901">
        <v>0</v>
      </c>
      <c r="AD901">
        <v>0</v>
      </c>
      <c r="AE901">
        <v>0</v>
      </c>
      <c r="AF901">
        <v>0</v>
      </c>
      <c r="AG901">
        <v>0</v>
      </c>
      <c r="AH901">
        <v>0</v>
      </c>
      <c r="AI901">
        <v>0</v>
      </c>
      <c r="AJ901">
        <v>0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71.790000000000006</v>
      </c>
      <c r="AR901">
        <v>0</v>
      </c>
      <c r="AS901">
        <v>0</v>
      </c>
      <c r="AT901">
        <v>0</v>
      </c>
      <c r="AU901">
        <v>0</v>
      </c>
      <c r="AV901">
        <v>0</v>
      </c>
      <c r="AW901">
        <v>0</v>
      </c>
      <c r="AX901">
        <v>0</v>
      </c>
      <c r="AY901">
        <v>0</v>
      </c>
      <c r="AZ901">
        <v>0</v>
      </c>
      <c r="BA901">
        <v>0</v>
      </c>
      <c r="BB901">
        <v>0</v>
      </c>
      <c r="BC901">
        <v>0</v>
      </c>
      <c r="BD901">
        <v>0</v>
      </c>
      <c r="BE901">
        <v>0</v>
      </c>
      <c r="BF901">
        <v>0</v>
      </c>
      <c r="BG901">
        <v>0</v>
      </c>
      <c r="BH901">
        <v>1</v>
      </c>
      <c r="BI901">
        <v>3</v>
      </c>
      <c r="BJ901">
        <v>1.1000000000000001</v>
      </c>
      <c r="BK901">
        <v>3</v>
      </c>
      <c r="BL901">
        <v>213.94</v>
      </c>
      <c r="BM901">
        <v>32.090000000000003</v>
      </c>
      <c r="BN901">
        <v>246.03</v>
      </c>
      <c r="BO901">
        <v>246.03</v>
      </c>
      <c r="BQ901" t="s">
        <v>1669</v>
      </c>
      <c r="BR901" t="s">
        <v>82</v>
      </c>
      <c r="BS901" s="3">
        <v>46002</v>
      </c>
      <c r="BT901" s="4">
        <v>0.60277777777777775</v>
      </c>
      <c r="BU901" t="s">
        <v>1670</v>
      </c>
      <c r="BV901" t="s">
        <v>87</v>
      </c>
      <c r="BW901" t="s">
        <v>186</v>
      </c>
      <c r="BX901" t="s">
        <v>996</v>
      </c>
      <c r="BY901">
        <v>5510</v>
      </c>
      <c r="CA901" t="s">
        <v>1671</v>
      </c>
      <c r="CC901" t="s">
        <v>613</v>
      </c>
      <c r="CD901">
        <v>6849</v>
      </c>
      <c r="CE901" t="s">
        <v>86</v>
      </c>
      <c r="CI901">
        <v>2</v>
      </c>
      <c r="CJ901">
        <v>3</v>
      </c>
      <c r="CK901">
        <v>23</v>
      </c>
      <c r="CL901" t="s">
        <v>87</v>
      </c>
    </row>
    <row r="902" spans="1:90" x14ac:dyDescent="0.3">
      <c r="A902" t="s">
        <v>72</v>
      </c>
      <c r="B902" t="s">
        <v>73</v>
      </c>
      <c r="C902" t="s">
        <v>74</v>
      </c>
      <c r="E902" t="str">
        <f>"080069746392"</f>
        <v>080069746392</v>
      </c>
      <c r="F902" s="3">
        <v>45999</v>
      </c>
      <c r="G902">
        <v>202609</v>
      </c>
      <c r="H902" t="s">
        <v>75</v>
      </c>
      <c r="I902" t="s">
        <v>76</v>
      </c>
      <c r="J902" t="s">
        <v>77</v>
      </c>
      <c r="K902" t="s">
        <v>78</v>
      </c>
      <c r="L902" t="s">
        <v>575</v>
      </c>
      <c r="M902" t="s">
        <v>576</v>
      </c>
      <c r="N902" t="s">
        <v>887</v>
      </c>
      <c r="O902" t="s">
        <v>89</v>
      </c>
      <c r="P902" t="str">
        <f>"4170072190                    "</f>
        <v xml:space="preserve">4170072190                    </v>
      </c>
      <c r="Q902">
        <v>0</v>
      </c>
      <c r="R902">
        <v>0</v>
      </c>
      <c r="S902">
        <v>0</v>
      </c>
      <c r="T902">
        <v>0</v>
      </c>
      <c r="U902">
        <v>0</v>
      </c>
      <c r="V902">
        <v>0</v>
      </c>
      <c r="W902">
        <v>0</v>
      </c>
      <c r="X902">
        <v>0</v>
      </c>
      <c r="Y902">
        <v>0</v>
      </c>
      <c r="Z902">
        <v>0</v>
      </c>
      <c r="AA902">
        <v>0</v>
      </c>
      <c r="AB902">
        <v>0</v>
      </c>
      <c r="AC902">
        <v>0</v>
      </c>
      <c r="AD902">
        <v>0</v>
      </c>
      <c r="AE902">
        <v>0</v>
      </c>
      <c r="AF902">
        <v>0</v>
      </c>
      <c r="AG902">
        <v>0</v>
      </c>
      <c r="AH902">
        <v>0</v>
      </c>
      <c r="AI902">
        <v>0</v>
      </c>
      <c r="AJ902">
        <v>0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19.940000000000001</v>
      </c>
      <c r="AR902">
        <v>0</v>
      </c>
      <c r="AS902">
        <v>0</v>
      </c>
      <c r="AT902">
        <v>0</v>
      </c>
      <c r="AU902">
        <v>0</v>
      </c>
      <c r="AV902">
        <v>0</v>
      </c>
      <c r="AW902">
        <v>0</v>
      </c>
      <c r="AX902">
        <v>0</v>
      </c>
      <c r="AY902">
        <v>0</v>
      </c>
      <c r="AZ902">
        <v>0</v>
      </c>
      <c r="BA902">
        <v>0</v>
      </c>
      <c r="BB902">
        <v>0</v>
      </c>
      <c r="BC902">
        <v>0</v>
      </c>
      <c r="BD902">
        <v>0</v>
      </c>
      <c r="BE902">
        <v>0</v>
      </c>
      <c r="BF902">
        <v>0</v>
      </c>
      <c r="BG902">
        <v>0</v>
      </c>
      <c r="BH902">
        <v>1</v>
      </c>
      <c r="BI902">
        <v>1</v>
      </c>
      <c r="BJ902">
        <v>0.2</v>
      </c>
      <c r="BK902">
        <v>1</v>
      </c>
      <c r="BL902">
        <v>59.42</v>
      </c>
      <c r="BM902">
        <v>8.91</v>
      </c>
      <c r="BN902">
        <v>68.33</v>
      </c>
      <c r="BO902">
        <v>68.33</v>
      </c>
      <c r="BQ902" t="s">
        <v>888</v>
      </c>
      <c r="BR902" t="s">
        <v>82</v>
      </c>
      <c r="BS902" s="3">
        <v>46000</v>
      </c>
      <c r="BT902" s="4">
        <v>0.3888888888888889</v>
      </c>
      <c r="BU902" t="s">
        <v>1672</v>
      </c>
      <c r="BV902" t="s">
        <v>84</v>
      </c>
      <c r="BY902">
        <v>1200</v>
      </c>
      <c r="CA902" t="s">
        <v>1673</v>
      </c>
      <c r="CC902" t="s">
        <v>576</v>
      </c>
      <c r="CD902">
        <v>1451</v>
      </c>
      <c r="CE902" t="s">
        <v>134</v>
      </c>
      <c r="CF902" s="3">
        <v>46001</v>
      </c>
      <c r="CI902">
        <v>1</v>
      </c>
      <c r="CJ902">
        <v>1</v>
      </c>
      <c r="CK902">
        <v>22</v>
      </c>
      <c r="CL902" t="s">
        <v>87</v>
      </c>
    </row>
    <row r="903" spans="1:90" x14ac:dyDescent="0.3">
      <c r="A903" t="s">
        <v>72</v>
      </c>
      <c r="B903" t="s">
        <v>73</v>
      </c>
      <c r="C903" t="s">
        <v>74</v>
      </c>
      <c r="E903" t="str">
        <f>"080069746427"</f>
        <v>080069746427</v>
      </c>
      <c r="F903" s="3">
        <v>45999</v>
      </c>
      <c r="G903">
        <v>202609</v>
      </c>
      <c r="H903" t="s">
        <v>75</v>
      </c>
      <c r="I903" t="s">
        <v>76</v>
      </c>
      <c r="J903" t="s">
        <v>77</v>
      </c>
      <c r="K903" t="s">
        <v>78</v>
      </c>
      <c r="L903" t="s">
        <v>1388</v>
      </c>
      <c r="M903" t="s">
        <v>1389</v>
      </c>
      <c r="N903" t="s">
        <v>1674</v>
      </c>
      <c r="O903" t="s">
        <v>89</v>
      </c>
      <c r="P903" t="str">
        <f>"4170072292                    "</f>
        <v xml:space="preserve">4170072292                    </v>
      </c>
      <c r="Q903">
        <v>0</v>
      </c>
      <c r="R903">
        <v>0</v>
      </c>
      <c r="S903">
        <v>0</v>
      </c>
      <c r="T903">
        <v>0</v>
      </c>
      <c r="U903">
        <v>0</v>
      </c>
      <c r="V903">
        <v>0</v>
      </c>
      <c r="W903">
        <v>0</v>
      </c>
      <c r="X903">
        <v>0</v>
      </c>
      <c r="Y903">
        <v>0</v>
      </c>
      <c r="Z903">
        <v>0</v>
      </c>
      <c r="AA903">
        <v>0</v>
      </c>
      <c r="AB903">
        <v>0</v>
      </c>
      <c r="AC903">
        <v>0</v>
      </c>
      <c r="AD903">
        <v>0</v>
      </c>
      <c r="AE903">
        <v>0</v>
      </c>
      <c r="AF903">
        <v>0</v>
      </c>
      <c r="AG903">
        <v>0</v>
      </c>
      <c r="AH903">
        <v>0</v>
      </c>
      <c r="AI903">
        <v>0</v>
      </c>
      <c r="AJ903">
        <v>0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19.940000000000001</v>
      </c>
      <c r="AR903">
        <v>0</v>
      </c>
      <c r="AS903">
        <v>0</v>
      </c>
      <c r="AT903">
        <v>0</v>
      </c>
      <c r="AU903">
        <v>0</v>
      </c>
      <c r="AV903">
        <v>0</v>
      </c>
      <c r="AW903">
        <v>0</v>
      </c>
      <c r="AX903">
        <v>0</v>
      </c>
      <c r="AY903">
        <v>0</v>
      </c>
      <c r="AZ903">
        <v>0</v>
      </c>
      <c r="BA903">
        <v>0</v>
      </c>
      <c r="BB903">
        <v>0</v>
      </c>
      <c r="BC903">
        <v>0</v>
      </c>
      <c r="BD903">
        <v>0</v>
      </c>
      <c r="BE903">
        <v>0</v>
      </c>
      <c r="BF903">
        <v>0</v>
      </c>
      <c r="BG903">
        <v>0</v>
      </c>
      <c r="BH903">
        <v>1</v>
      </c>
      <c r="BI903">
        <v>1</v>
      </c>
      <c r="BJ903">
        <v>0.2</v>
      </c>
      <c r="BK903">
        <v>1</v>
      </c>
      <c r="BL903">
        <v>59.42</v>
      </c>
      <c r="BM903">
        <v>8.91</v>
      </c>
      <c r="BN903">
        <v>68.33</v>
      </c>
      <c r="BO903">
        <v>68.33</v>
      </c>
      <c r="BQ903" t="s">
        <v>1675</v>
      </c>
      <c r="BR903" t="s">
        <v>82</v>
      </c>
      <c r="BS903" s="3">
        <v>46000</v>
      </c>
      <c r="BT903" s="4">
        <v>0.40069444444444446</v>
      </c>
      <c r="BU903" t="s">
        <v>1676</v>
      </c>
      <c r="BV903" t="s">
        <v>84</v>
      </c>
      <c r="BY903">
        <v>1200</v>
      </c>
      <c r="CA903" t="s">
        <v>1677</v>
      </c>
      <c r="CC903" t="s">
        <v>1389</v>
      </c>
      <c r="CD903">
        <v>2163</v>
      </c>
      <c r="CE903" t="s">
        <v>134</v>
      </c>
      <c r="CF903" s="3">
        <v>46001</v>
      </c>
      <c r="CI903">
        <v>1</v>
      </c>
      <c r="CJ903">
        <v>1</v>
      </c>
      <c r="CK903">
        <v>22</v>
      </c>
      <c r="CL903" t="s">
        <v>87</v>
      </c>
    </row>
    <row r="904" spans="1:90" x14ac:dyDescent="0.3">
      <c r="A904" t="s">
        <v>72</v>
      </c>
      <c r="B904" t="s">
        <v>73</v>
      </c>
      <c r="C904" t="s">
        <v>74</v>
      </c>
      <c r="E904" t="str">
        <f>"080069746755"</f>
        <v>080069746755</v>
      </c>
      <c r="F904" s="3">
        <v>45999</v>
      </c>
      <c r="G904">
        <v>202609</v>
      </c>
      <c r="H904" t="s">
        <v>75</v>
      </c>
      <c r="I904" t="s">
        <v>76</v>
      </c>
      <c r="J904" t="s">
        <v>77</v>
      </c>
      <c r="K904" t="s">
        <v>78</v>
      </c>
      <c r="L904" t="s">
        <v>120</v>
      </c>
      <c r="M904" t="s">
        <v>121</v>
      </c>
      <c r="N904" t="s">
        <v>1509</v>
      </c>
      <c r="O904" t="s">
        <v>89</v>
      </c>
      <c r="P904" t="str">
        <f>"4170072254                    "</f>
        <v xml:space="preserve">4170072254                    </v>
      </c>
      <c r="Q904">
        <v>0</v>
      </c>
      <c r="R904">
        <v>0</v>
      </c>
      <c r="S904">
        <v>0</v>
      </c>
      <c r="T904">
        <v>0</v>
      </c>
      <c r="U904">
        <v>0</v>
      </c>
      <c r="V904">
        <v>0</v>
      </c>
      <c r="W904">
        <v>0</v>
      </c>
      <c r="X904">
        <v>0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0</v>
      </c>
      <c r="AE904">
        <v>0</v>
      </c>
      <c r="AF904">
        <v>0</v>
      </c>
      <c r="AG904">
        <v>0</v>
      </c>
      <c r="AH904">
        <v>0</v>
      </c>
      <c r="AI904">
        <v>0</v>
      </c>
      <c r="AJ904">
        <v>0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0</v>
      </c>
      <c r="AQ904">
        <v>25.52</v>
      </c>
      <c r="AR904">
        <v>0</v>
      </c>
      <c r="AS904">
        <v>0</v>
      </c>
      <c r="AT904">
        <v>0</v>
      </c>
      <c r="AU904">
        <v>0</v>
      </c>
      <c r="AV904">
        <v>0</v>
      </c>
      <c r="AW904">
        <v>0</v>
      </c>
      <c r="AX904">
        <v>0</v>
      </c>
      <c r="AY904">
        <v>0</v>
      </c>
      <c r="AZ904">
        <v>0</v>
      </c>
      <c r="BA904">
        <v>0</v>
      </c>
      <c r="BB904">
        <v>0</v>
      </c>
      <c r="BC904">
        <v>0</v>
      </c>
      <c r="BD904">
        <v>0</v>
      </c>
      <c r="BE904">
        <v>0</v>
      </c>
      <c r="BF904">
        <v>0</v>
      </c>
      <c r="BG904">
        <v>0</v>
      </c>
      <c r="BH904">
        <v>1</v>
      </c>
      <c r="BI904">
        <v>1</v>
      </c>
      <c r="BJ904">
        <v>0.2</v>
      </c>
      <c r="BK904">
        <v>1</v>
      </c>
      <c r="BL904">
        <v>76.06</v>
      </c>
      <c r="BM904">
        <v>11.41</v>
      </c>
      <c r="BN904">
        <v>87.47</v>
      </c>
      <c r="BO904">
        <v>87.47</v>
      </c>
      <c r="BQ904" t="s">
        <v>1510</v>
      </c>
      <c r="BR904" t="s">
        <v>82</v>
      </c>
      <c r="BS904" s="3">
        <v>46000</v>
      </c>
      <c r="BT904" s="4">
        <v>0.33680555555555558</v>
      </c>
      <c r="BU904" t="s">
        <v>1678</v>
      </c>
      <c r="BV904" t="s">
        <v>84</v>
      </c>
      <c r="BY904">
        <v>1200</v>
      </c>
      <c r="CA904" t="s">
        <v>126</v>
      </c>
      <c r="CC904" t="s">
        <v>121</v>
      </c>
      <c r="CD904">
        <v>6230</v>
      </c>
      <c r="CE904" t="s">
        <v>134</v>
      </c>
      <c r="CF904" s="3">
        <v>46000</v>
      </c>
      <c r="CI904">
        <v>1</v>
      </c>
      <c r="CJ904">
        <v>1</v>
      </c>
      <c r="CK904">
        <v>21</v>
      </c>
      <c r="CL904" t="s">
        <v>87</v>
      </c>
    </row>
    <row r="905" spans="1:90" x14ac:dyDescent="0.3">
      <c r="A905" t="s">
        <v>72</v>
      </c>
      <c r="B905" t="s">
        <v>73</v>
      </c>
      <c r="C905" t="s">
        <v>74</v>
      </c>
      <c r="E905" t="str">
        <f>"080069746761"</f>
        <v>080069746761</v>
      </c>
      <c r="F905" s="3">
        <v>45999</v>
      </c>
      <c r="G905">
        <v>202609</v>
      </c>
      <c r="H905" t="s">
        <v>75</v>
      </c>
      <c r="I905" t="s">
        <v>76</v>
      </c>
      <c r="J905" t="s">
        <v>77</v>
      </c>
      <c r="K905" t="s">
        <v>78</v>
      </c>
      <c r="L905" t="s">
        <v>208</v>
      </c>
      <c r="M905" t="s">
        <v>209</v>
      </c>
      <c r="N905" t="s">
        <v>1679</v>
      </c>
      <c r="O905" t="s">
        <v>80</v>
      </c>
      <c r="P905" t="str">
        <f>"4170072144                    "</f>
        <v xml:space="preserve">4170072144                    </v>
      </c>
      <c r="Q905">
        <v>0</v>
      </c>
      <c r="R905">
        <v>0</v>
      </c>
      <c r="S905">
        <v>0</v>
      </c>
      <c r="T905">
        <v>0</v>
      </c>
      <c r="U905">
        <v>0</v>
      </c>
      <c r="V905">
        <v>0</v>
      </c>
      <c r="W905">
        <v>0</v>
      </c>
      <c r="X905">
        <v>0</v>
      </c>
      <c r="Y905">
        <v>0</v>
      </c>
      <c r="Z905">
        <v>0</v>
      </c>
      <c r="AA905">
        <v>0</v>
      </c>
      <c r="AB905">
        <v>0</v>
      </c>
      <c r="AC905">
        <v>0</v>
      </c>
      <c r="AD905">
        <v>0</v>
      </c>
      <c r="AE905">
        <v>0</v>
      </c>
      <c r="AF905">
        <v>0</v>
      </c>
      <c r="AG905">
        <v>0</v>
      </c>
      <c r="AH905">
        <v>0</v>
      </c>
      <c r="AI905">
        <v>0</v>
      </c>
      <c r="AJ905">
        <v>0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49.36</v>
      </c>
      <c r="AR905">
        <v>0</v>
      </c>
      <c r="AS905">
        <v>0</v>
      </c>
      <c r="AT905">
        <v>0</v>
      </c>
      <c r="AU905">
        <v>0</v>
      </c>
      <c r="AV905">
        <v>0</v>
      </c>
      <c r="AW905">
        <v>0</v>
      </c>
      <c r="AX905">
        <v>0</v>
      </c>
      <c r="AY905">
        <v>0</v>
      </c>
      <c r="AZ905">
        <v>0</v>
      </c>
      <c r="BA905">
        <v>0</v>
      </c>
      <c r="BB905">
        <v>0</v>
      </c>
      <c r="BC905">
        <v>0</v>
      </c>
      <c r="BD905">
        <v>0</v>
      </c>
      <c r="BE905">
        <v>0</v>
      </c>
      <c r="BF905">
        <v>0</v>
      </c>
      <c r="BG905">
        <v>0</v>
      </c>
      <c r="BH905">
        <v>1</v>
      </c>
      <c r="BI905">
        <v>4</v>
      </c>
      <c r="BJ905">
        <v>7.8</v>
      </c>
      <c r="BK905">
        <v>8</v>
      </c>
      <c r="BL905">
        <v>153.19999999999999</v>
      </c>
      <c r="BM905">
        <v>22.98</v>
      </c>
      <c r="BN905">
        <v>176.18</v>
      </c>
      <c r="BO905">
        <v>176.18</v>
      </c>
      <c r="BQ905" t="s">
        <v>1680</v>
      </c>
      <c r="BR905" t="s">
        <v>82</v>
      </c>
      <c r="BS905" s="3">
        <v>46000</v>
      </c>
      <c r="BT905" s="4">
        <v>0.36875000000000002</v>
      </c>
      <c r="BU905" t="s">
        <v>1681</v>
      </c>
      <c r="BV905" t="s">
        <v>84</v>
      </c>
      <c r="BY905">
        <v>38988</v>
      </c>
      <c r="CA905">
        <v>7712195338085</v>
      </c>
      <c r="CC905" t="s">
        <v>209</v>
      </c>
      <c r="CD905" s="5" t="s">
        <v>213</v>
      </c>
      <c r="CE905" t="s">
        <v>93</v>
      </c>
      <c r="CF905" s="3">
        <v>46000</v>
      </c>
      <c r="CI905">
        <v>1</v>
      </c>
      <c r="CJ905">
        <v>1</v>
      </c>
      <c r="CK905">
        <v>41</v>
      </c>
      <c r="CL905" t="s">
        <v>87</v>
      </c>
    </row>
    <row r="906" spans="1:90" x14ac:dyDescent="0.3">
      <c r="A906" t="s">
        <v>72</v>
      </c>
      <c r="B906" t="s">
        <v>73</v>
      </c>
      <c r="C906" t="s">
        <v>74</v>
      </c>
      <c r="E906" t="str">
        <f>"080069746797"</f>
        <v>080069746797</v>
      </c>
      <c r="F906" s="3">
        <v>45999</v>
      </c>
      <c r="G906">
        <v>202609</v>
      </c>
      <c r="H906" t="s">
        <v>75</v>
      </c>
      <c r="I906" t="s">
        <v>76</v>
      </c>
      <c r="J906" t="s">
        <v>77</v>
      </c>
      <c r="K906" t="s">
        <v>78</v>
      </c>
      <c r="L906" t="s">
        <v>272</v>
      </c>
      <c r="M906" t="s">
        <v>273</v>
      </c>
      <c r="N906" t="s">
        <v>274</v>
      </c>
      <c r="O906" t="s">
        <v>89</v>
      </c>
      <c r="P906" t="str">
        <f>"4170072143                    "</f>
        <v xml:space="preserve">4170072143                    </v>
      </c>
      <c r="Q906">
        <v>0</v>
      </c>
      <c r="R906">
        <v>0</v>
      </c>
      <c r="S906">
        <v>0</v>
      </c>
      <c r="T906">
        <v>0</v>
      </c>
      <c r="U906">
        <v>0</v>
      </c>
      <c r="V906">
        <v>0</v>
      </c>
      <c r="W906">
        <v>0</v>
      </c>
      <c r="X906">
        <v>0</v>
      </c>
      <c r="Y906">
        <v>0</v>
      </c>
      <c r="Z906">
        <v>0</v>
      </c>
      <c r="AA906">
        <v>0</v>
      </c>
      <c r="AB906">
        <v>0</v>
      </c>
      <c r="AC906">
        <v>0</v>
      </c>
      <c r="AD906">
        <v>0</v>
      </c>
      <c r="AE906">
        <v>0</v>
      </c>
      <c r="AF906">
        <v>0</v>
      </c>
      <c r="AG906">
        <v>0</v>
      </c>
      <c r="AH906">
        <v>0</v>
      </c>
      <c r="AI906">
        <v>0</v>
      </c>
      <c r="AJ906">
        <v>0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70.17</v>
      </c>
      <c r="AR906">
        <v>0</v>
      </c>
      <c r="AS906">
        <v>0</v>
      </c>
      <c r="AT906">
        <v>0</v>
      </c>
      <c r="AU906">
        <v>0</v>
      </c>
      <c r="AV906">
        <v>0</v>
      </c>
      <c r="AW906">
        <v>0</v>
      </c>
      <c r="AX906">
        <v>0</v>
      </c>
      <c r="AY906">
        <v>0</v>
      </c>
      <c r="AZ906">
        <v>0</v>
      </c>
      <c r="BA906">
        <v>0</v>
      </c>
      <c r="BB906">
        <v>0</v>
      </c>
      <c r="BC906">
        <v>0</v>
      </c>
      <c r="BD906">
        <v>0</v>
      </c>
      <c r="BE906">
        <v>0</v>
      </c>
      <c r="BF906">
        <v>0</v>
      </c>
      <c r="BG906">
        <v>0</v>
      </c>
      <c r="BH906">
        <v>1</v>
      </c>
      <c r="BI906">
        <v>2</v>
      </c>
      <c r="BJ906">
        <v>5.2</v>
      </c>
      <c r="BK906">
        <v>5.5</v>
      </c>
      <c r="BL906">
        <v>209.12</v>
      </c>
      <c r="BM906">
        <v>31.37</v>
      </c>
      <c r="BN906">
        <v>240.49</v>
      </c>
      <c r="BO906">
        <v>240.49</v>
      </c>
      <c r="BQ906" t="s">
        <v>275</v>
      </c>
      <c r="BR906" t="s">
        <v>82</v>
      </c>
      <c r="BS906" s="3">
        <v>46000</v>
      </c>
      <c r="BT906" s="4">
        <v>0.3840277777777778</v>
      </c>
      <c r="BU906" t="s">
        <v>276</v>
      </c>
      <c r="BV906" t="s">
        <v>84</v>
      </c>
      <c r="BY906">
        <v>26013</v>
      </c>
      <c r="CA906" t="s">
        <v>277</v>
      </c>
      <c r="CC906" t="s">
        <v>273</v>
      </c>
      <c r="CD906">
        <v>6220</v>
      </c>
      <c r="CE906" t="s">
        <v>229</v>
      </c>
      <c r="CF906" s="3">
        <v>46000</v>
      </c>
      <c r="CI906">
        <v>1</v>
      </c>
      <c r="CJ906">
        <v>1</v>
      </c>
      <c r="CK906">
        <v>21</v>
      </c>
      <c r="CL906" t="s">
        <v>87</v>
      </c>
    </row>
    <row r="907" spans="1:90" x14ac:dyDescent="0.3">
      <c r="A907" t="s">
        <v>72</v>
      </c>
      <c r="B907" t="s">
        <v>73</v>
      </c>
      <c r="C907" t="s">
        <v>74</v>
      </c>
      <c r="E907" t="str">
        <f>"080069746823"</f>
        <v>080069746823</v>
      </c>
      <c r="F907" s="3">
        <v>45999</v>
      </c>
      <c r="G907">
        <v>202609</v>
      </c>
      <c r="H907" t="s">
        <v>75</v>
      </c>
      <c r="I907" t="s">
        <v>76</v>
      </c>
      <c r="J907" t="s">
        <v>77</v>
      </c>
      <c r="K907" t="s">
        <v>78</v>
      </c>
      <c r="L907" t="s">
        <v>208</v>
      </c>
      <c r="M907" t="s">
        <v>209</v>
      </c>
      <c r="N907" t="s">
        <v>210</v>
      </c>
      <c r="O907" t="s">
        <v>80</v>
      </c>
      <c r="P907" t="str">
        <f>"4170072206                    "</f>
        <v xml:space="preserve">4170072206                    </v>
      </c>
      <c r="Q907">
        <v>0</v>
      </c>
      <c r="R907">
        <v>0</v>
      </c>
      <c r="S907">
        <v>0</v>
      </c>
      <c r="T907">
        <v>0</v>
      </c>
      <c r="U907">
        <v>0</v>
      </c>
      <c r="V907">
        <v>0</v>
      </c>
      <c r="W907">
        <v>0</v>
      </c>
      <c r="X907">
        <v>0</v>
      </c>
      <c r="Y907">
        <v>0</v>
      </c>
      <c r="Z907">
        <v>0</v>
      </c>
      <c r="AA907">
        <v>0</v>
      </c>
      <c r="AB907">
        <v>0</v>
      </c>
      <c r="AC907">
        <v>0</v>
      </c>
      <c r="AD907">
        <v>0</v>
      </c>
      <c r="AE907">
        <v>0</v>
      </c>
      <c r="AF907">
        <v>0</v>
      </c>
      <c r="AG907">
        <v>0</v>
      </c>
      <c r="AH907">
        <v>0</v>
      </c>
      <c r="AI907">
        <v>0</v>
      </c>
      <c r="AJ907">
        <v>0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49.36</v>
      </c>
      <c r="AR907">
        <v>0</v>
      </c>
      <c r="AS907">
        <v>0</v>
      </c>
      <c r="AT907">
        <v>0</v>
      </c>
      <c r="AU907">
        <v>0</v>
      </c>
      <c r="AV907">
        <v>0</v>
      </c>
      <c r="AW907">
        <v>0</v>
      </c>
      <c r="AX907">
        <v>0</v>
      </c>
      <c r="AY907">
        <v>0</v>
      </c>
      <c r="AZ907">
        <v>0</v>
      </c>
      <c r="BA907">
        <v>0</v>
      </c>
      <c r="BB907">
        <v>0</v>
      </c>
      <c r="BC907">
        <v>0</v>
      </c>
      <c r="BD907">
        <v>0</v>
      </c>
      <c r="BE907">
        <v>0</v>
      </c>
      <c r="BF907">
        <v>0</v>
      </c>
      <c r="BG907">
        <v>0</v>
      </c>
      <c r="BH907">
        <v>1</v>
      </c>
      <c r="BI907">
        <v>4</v>
      </c>
      <c r="BJ907">
        <v>5</v>
      </c>
      <c r="BK907">
        <v>5</v>
      </c>
      <c r="BL907">
        <v>153.19999999999999</v>
      </c>
      <c r="BM907">
        <v>22.98</v>
      </c>
      <c r="BN907">
        <v>176.18</v>
      </c>
      <c r="BO907">
        <v>176.18</v>
      </c>
      <c r="BQ907" t="s">
        <v>211</v>
      </c>
      <c r="BR907" t="s">
        <v>82</v>
      </c>
      <c r="BS907" s="3">
        <v>46000</v>
      </c>
      <c r="BT907" s="4">
        <v>0.43333333333333335</v>
      </c>
      <c r="BU907" t="s">
        <v>212</v>
      </c>
      <c r="BV907" t="s">
        <v>84</v>
      </c>
      <c r="BY907">
        <v>24960</v>
      </c>
      <c r="CA907">
        <v>7712195338085</v>
      </c>
      <c r="CC907" t="s">
        <v>209</v>
      </c>
      <c r="CD907" s="5" t="s">
        <v>213</v>
      </c>
      <c r="CE907" t="s">
        <v>93</v>
      </c>
      <c r="CF907" s="3">
        <v>46000</v>
      </c>
      <c r="CI907">
        <v>1</v>
      </c>
      <c r="CJ907">
        <v>1</v>
      </c>
      <c r="CK907">
        <v>41</v>
      </c>
      <c r="CL907" t="s">
        <v>87</v>
      </c>
    </row>
    <row r="908" spans="1:90" x14ac:dyDescent="0.3">
      <c r="A908" t="s">
        <v>72</v>
      </c>
      <c r="B908" t="s">
        <v>73</v>
      </c>
      <c r="C908" t="s">
        <v>74</v>
      </c>
      <c r="E908" t="str">
        <f>"080069746848"</f>
        <v>080069746848</v>
      </c>
      <c r="F908" s="3">
        <v>45999</v>
      </c>
      <c r="G908">
        <v>202609</v>
      </c>
      <c r="H908" t="s">
        <v>75</v>
      </c>
      <c r="I908" t="s">
        <v>76</v>
      </c>
      <c r="J908" t="s">
        <v>77</v>
      </c>
      <c r="K908" t="s">
        <v>78</v>
      </c>
      <c r="L908" t="s">
        <v>75</v>
      </c>
      <c r="M908" t="s">
        <v>76</v>
      </c>
      <c r="N908" t="s">
        <v>79</v>
      </c>
      <c r="O908" t="s">
        <v>89</v>
      </c>
      <c r="P908" t="str">
        <f>"4170072244                    "</f>
        <v xml:space="preserve">4170072244                    </v>
      </c>
      <c r="Q908">
        <v>0</v>
      </c>
      <c r="R908">
        <v>0</v>
      </c>
      <c r="S908">
        <v>0</v>
      </c>
      <c r="T908">
        <v>0</v>
      </c>
      <c r="U908">
        <v>0</v>
      </c>
      <c r="V908">
        <v>0</v>
      </c>
      <c r="W908">
        <v>0</v>
      </c>
      <c r="X908">
        <v>0</v>
      </c>
      <c r="Y908">
        <v>0</v>
      </c>
      <c r="Z908">
        <v>0</v>
      </c>
      <c r="AA908">
        <v>0</v>
      </c>
      <c r="AB908">
        <v>0</v>
      </c>
      <c r="AC908">
        <v>0</v>
      </c>
      <c r="AD908">
        <v>0</v>
      </c>
      <c r="AE908">
        <v>0</v>
      </c>
      <c r="AF908">
        <v>0</v>
      </c>
      <c r="AG908">
        <v>0</v>
      </c>
      <c r="AH908">
        <v>0</v>
      </c>
      <c r="AI908">
        <v>0</v>
      </c>
      <c r="AJ908">
        <v>0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19.940000000000001</v>
      </c>
      <c r="AR908">
        <v>0</v>
      </c>
      <c r="AS908">
        <v>0</v>
      </c>
      <c r="AT908">
        <v>0</v>
      </c>
      <c r="AU908">
        <v>0</v>
      </c>
      <c r="AV908">
        <v>0</v>
      </c>
      <c r="AW908">
        <v>0</v>
      </c>
      <c r="AX908">
        <v>0</v>
      </c>
      <c r="AY908">
        <v>0</v>
      </c>
      <c r="AZ908">
        <v>0</v>
      </c>
      <c r="BA908">
        <v>0</v>
      </c>
      <c r="BB908">
        <v>0</v>
      </c>
      <c r="BC908">
        <v>0</v>
      </c>
      <c r="BD908">
        <v>0</v>
      </c>
      <c r="BE908">
        <v>0</v>
      </c>
      <c r="BF908">
        <v>0</v>
      </c>
      <c r="BG908">
        <v>0</v>
      </c>
      <c r="BH908">
        <v>1</v>
      </c>
      <c r="BI908">
        <v>2</v>
      </c>
      <c r="BJ908">
        <v>3.2</v>
      </c>
      <c r="BK908">
        <v>4</v>
      </c>
      <c r="BL908">
        <v>59.42</v>
      </c>
      <c r="BM908">
        <v>8.91</v>
      </c>
      <c r="BN908">
        <v>68.33</v>
      </c>
      <c r="BO908">
        <v>68.33</v>
      </c>
      <c r="BQ908" t="s">
        <v>81</v>
      </c>
      <c r="BR908" t="s">
        <v>82</v>
      </c>
      <c r="BS908" s="3">
        <v>46000</v>
      </c>
      <c r="BT908" s="4">
        <v>0.37638888888888888</v>
      </c>
      <c r="BU908" t="s">
        <v>83</v>
      </c>
      <c r="BV908" t="s">
        <v>84</v>
      </c>
      <c r="BY908">
        <v>16184</v>
      </c>
      <c r="CA908" t="s">
        <v>85</v>
      </c>
      <c r="CC908" t="s">
        <v>76</v>
      </c>
      <c r="CD908">
        <v>1619</v>
      </c>
      <c r="CE908" t="s">
        <v>229</v>
      </c>
      <c r="CF908" s="3">
        <v>46000</v>
      </c>
      <c r="CI908">
        <v>1</v>
      </c>
      <c r="CJ908">
        <v>1</v>
      </c>
      <c r="CK908">
        <v>22</v>
      </c>
      <c r="CL908" t="s">
        <v>87</v>
      </c>
    </row>
    <row r="909" spans="1:90" x14ac:dyDescent="0.3">
      <c r="A909" t="s">
        <v>72</v>
      </c>
      <c r="B909" t="s">
        <v>73</v>
      </c>
      <c r="C909" t="s">
        <v>74</v>
      </c>
      <c r="E909" t="str">
        <f>"080069746882"</f>
        <v>080069746882</v>
      </c>
      <c r="F909" s="3">
        <v>45999</v>
      </c>
      <c r="G909">
        <v>202609</v>
      </c>
      <c r="H909" t="s">
        <v>75</v>
      </c>
      <c r="I909" t="s">
        <v>76</v>
      </c>
      <c r="J909" t="s">
        <v>77</v>
      </c>
      <c r="K909" t="s">
        <v>78</v>
      </c>
      <c r="L909" t="s">
        <v>141</v>
      </c>
      <c r="M909" t="s">
        <v>142</v>
      </c>
      <c r="N909" t="s">
        <v>143</v>
      </c>
      <c r="O909" t="s">
        <v>89</v>
      </c>
      <c r="P909" t="str">
        <f>"4170072247                    "</f>
        <v xml:space="preserve">4170072247                    </v>
      </c>
      <c r="Q909">
        <v>0</v>
      </c>
      <c r="R909">
        <v>0</v>
      </c>
      <c r="S909">
        <v>0</v>
      </c>
      <c r="T909">
        <v>0</v>
      </c>
      <c r="U909">
        <v>0</v>
      </c>
      <c r="V909">
        <v>0</v>
      </c>
      <c r="W909">
        <v>0</v>
      </c>
      <c r="X909">
        <v>0</v>
      </c>
      <c r="Y909">
        <v>0</v>
      </c>
      <c r="Z909">
        <v>0</v>
      </c>
      <c r="AA909">
        <v>0</v>
      </c>
      <c r="AB909">
        <v>0</v>
      </c>
      <c r="AC909">
        <v>0</v>
      </c>
      <c r="AD909">
        <v>0</v>
      </c>
      <c r="AE909">
        <v>0</v>
      </c>
      <c r="AF909">
        <v>0</v>
      </c>
      <c r="AG909">
        <v>0</v>
      </c>
      <c r="AH909">
        <v>0</v>
      </c>
      <c r="AI909">
        <v>0</v>
      </c>
      <c r="AJ909">
        <v>0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25.52</v>
      </c>
      <c r="AR909">
        <v>0</v>
      </c>
      <c r="AS909">
        <v>0</v>
      </c>
      <c r="AT909">
        <v>0</v>
      </c>
      <c r="AU909">
        <v>0</v>
      </c>
      <c r="AV909">
        <v>0</v>
      </c>
      <c r="AW909">
        <v>0</v>
      </c>
      <c r="AX909">
        <v>0</v>
      </c>
      <c r="AY909">
        <v>0</v>
      </c>
      <c r="AZ909">
        <v>0</v>
      </c>
      <c r="BA909">
        <v>0</v>
      </c>
      <c r="BB909">
        <v>0</v>
      </c>
      <c r="BC909">
        <v>0</v>
      </c>
      <c r="BD909">
        <v>0</v>
      </c>
      <c r="BE909">
        <v>0</v>
      </c>
      <c r="BF909">
        <v>0</v>
      </c>
      <c r="BG909">
        <v>0</v>
      </c>
      <c r="BH909">
        <v>1</v>
      </c>
      <c r="BI909">
        <v>1</v>
      </c>
      <c r="BJ909">
        <v>1.4</v>
      </c>
      <c r="BK909">
        <v>1.5</v>
      </c>
      <c r="BL909">
        <v>76.06</v>
      </c>
      <c r="BM909">
        <v>11.41</v>
      </c>
      <c r="BN909">
        <v>87.47</v>
      </c>
      <c r="BO909">
        <v>87.47</v>
      </c>
      <c r="BQ909" t="s">
        <v>144</v>
      </c>
      <c r="BR909" t="s">
        <v>82</v>
      </c>
      <c r="BS909" s="3">
        <v>46000</v>
      </c>
      <c r="BT909" s="4">
        <v>0.40694444444444444</v>
      </c>
      <c r="BU909" t="s">
        <v>1682</v>
      </c>
      <c r="BV909" t="s">
        <v>84</v>
      </c>
      <c r="BY909">
        <v>7000</v>
      </c>
      <c r="CA909" t="s">
        <v>1228</v>
      </c>
      <c r="CC909" t="s">
        <v>142</v>
      </c>
      <c r="CD909">
        <v>6001</v>
      </c>
      <c r="CE909" t="s">
        <v>86</v>
      </c>
      <c r="CF909" s="3">
        <v>46000</v>
      </c>
      <c r="CI909">
        <v>1</v>
      </c>
      <c r="CJ909">
        <v>1</v>
      </c>
      <c r="CK909">
        <v>21</v>
      </c>
      <c r="CL909" t="s">
        <v>87</v>
      </c>
    </row>
    <row r="910" spans="1:90" x14ac:dyDescent="0.3">
      <c r="A910" t="s">
        <v>72</v>
      </c>
      <c r="B910" t="s">
        <v>73</v>
      </c>
      <c r="C910" t="s">
        <v>74</v>
      </c>
      <c r="E910" t="str">
        <f>"080069746909"</f>
        <v>080069746909</v>
      </c>
      <c r="F910" s="3">
        <v>45999</v>
      </c>
      <c r="G910">
        <v>202609</v>
      </c>
      <c r="H910" t="s">
        <v>75</v>
      </c>
      <c r="I910" t="s">
        <v>76</v>
      </c>
      <c r="J910" t="s">
        <v>77</v>
      </c>
      <c r="K910" t="s">
        <v>78</v>
      </c>
      <c r="L910" t="s">
        <v>120</v>
      </c>
      <c r="M910" t="s">
        <v>121</v>
      </c>
      <c r="N910" t="s">
        <v>163</v>
      </c>
      <c r="O910" t="s">
        <v>89</v>
      </c>
      <c r="P910" t="str">
        <f>"4170072301                    "</f>
        <v xml:space="preserve">4170072301                    </v>
      </c>
      <c r="Q910">
        <v>0</v>
      </c>
      <c r="R910">
        <v>0</v>
      </c>
      <c r="S910">
        <v>0</v>
      </c>
      <c r="T910">
        <v>0</v>
      </c>
      <c r="U910">
        <v>0</v>
      </c>
      <c r="V910">
        <v>0</v>
      </c>
      <c r="W910">
        <v>0</v>
      </c>
      <c r="X910">
        <v>0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>
        <v>0</v>
      </c>
      <c r="AG910">
        <v>0</v>
      </c>
      <c r="AH910">
        <v>0</v>
      </c>
      <c r="AI910">
        <v>0</v>
      </c>
      <c r="AJ910">
        <v>0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44.66</v>
      </c>
      <c r="AR910">
        <v>0</v>
      </c>
      <c r="AS910">
        <v>0</v>
      </c>
      <c r="AT910">
        <v>0</v>
      </c>
      <c r="AU910">
        <v>0</v>
      </c>
      <c r="AV910">
        <v>0</v>
      </c>
      <c r="AW910">
        <v>0</v>
      </c>
      <c r="AX910">
        <v>0</v>
      </c>
      <c r="AY910">
        <v>0</v>
      </c>
      <c r="AZ910">
        <v>0</v>
      </c>
      <c r="BA910">
        <v>0</v>
      </c>
      <c r="BB910">
        <v>0</v>
      </c>
      <c r="BC910">
        <v>0</v>
      </c>
      <c r="BD910">
        <v>0</v>
      </c>
      <c r="BE910">
        <v>0</v>
      </c>
      <c r="BF910">
        <v>0</v>
      </c>
      <c r="BG910">
        <v>0</v>
      </c>
      <c r="BH910">
        <v>1</v>
      </c>
      <c r="BI910">
        <v>3</v>
      </c>
      <c r="BJ910">
        <v>3.2</v>
      </c>
      <c r="BK910">
        <v>3.5</v>
      </c>
      <c r="BL910">
        <v>133.09</v>
      </c>
      <c r="BM910">
        <v>19.96</v>
      </c>
      <c r="BN910">
        <v>153.05000000000001</v>
      </c>
      <c r="BO910">
        <v>153.05000000000001</v>
      </c>
      <c r="BQ910" t="s">
        <v>164</v>
      </c>
      <c r="BR910" t="s">
        <v>82</v>
      </c>
      <c r="BS910" s="3">
        <v>46000</v>
      </c>
      <c r="BT910" s="4">
        <v>0.33333333333333331</v>
      </c>
      <c r="BU910" t="s">
        <v>848</v>
      </c>
      <c r="BV910" t="s">
        <v>84</v>
      </c>
      <c r="BY910">
        <v>16184</v>
      </c>
      <c r="CA910" t="s">
        <v>126</v>
      </c>
      <c r="CC910" t="s">
        <v>121</v>
      </c>
      <c r="CD910">
        <v>6230</v>
      </c>
      <c r="CE910" t="s">
        <v>229</v>
      </c>
      <c r="CF910" s="3">
        <v>46000</v>
      </c>
      <c r="CI910">
        <v>1</v>
      </c>
      <c r="CJ910">
        <v>1</v>
      </c>
      <c r="CK910">
        <v>21</v>
      </c>
      <c r="CL910" t="s">
        <v>87</v>
      </c>
    </row>
    <row r="911" spans="1:90" x14ac:dyDescent="0.3">
      <c r="A911" t="s">
        <v>72</v>
      </c>
      <c r="B911" t="s">
        <v>73</v>
      </c>
      <c r="C911" t="s">
        <v>74</v>
      </c>
      <c r="E911" t="str">
        <f>"080069746959"</f>
        <v>080069746959</v>
      </c>
      <c r="F911" s="3">
        <v>45999</v>
      </c>
      <c r="G911">
        <v>202609</v>
      </c>
      <c r="H911" t="s">
        <v>75</v>
      </c>
      <c r="I911" t="s">
        <v>76</v>
      </c>
      <c r="J911" t="s">
        <v>77</v>
      </c>
      <c r="K911" t="s">
        <v>78</v>
      </c>
      <c r="L911" t="s">
        <v>218</v>
      </c>
      <c r="M911" t="s">
        <v>219</v>
      </c>
      <c r="N911" t="s">
        <v>220</v>
      </c>
      <c r="O911" t="s">
        <v>89</v>
      </c>
      <c r="P911" t="str">
        <f>"4170072264                    "</f>
        <v xml:space="preserve">4170072264                    </v>
      </c>
      <c r="Q911">
        <v>0</v>
      </c>
      <c r="R911">
        <v>0</v>
      </c>
      <c r="S911">
        <v>0</v>
      </c>
      <c r="T911">
        <v>0</v>
      </c>
      <c r="U911">
        <v>0</v>
      </c>
      <c r="V911">
        <v>0</v>
      </c>
      <c r="W911">
        <v>0</v>
      </c>
      <c r="X911">
        <v>0</v>
      </c>
      <c r="Y911">
        <v>0</v>
      </c>
      <c r="Z911">
        <v>0</v>
      </c>
      <c r="AA911">
        <v>0</v>
      </c>
      <c r="AB911">
        <v>0</v>
      </c>
      <c r="AC911">
        <v>0</v>
      </c>
      <c r="AD911">
        <v>0</v>
      </c>
      <c r="AE911">
        <v>0</v>
      </c>
      <c r="AF911">
        <v>0</v>
      </c>
      <c r="AG911">
        <v>0</v>
      </c>
      <c r="AH911">
        <v>0</v>
      </c>
      <c r="AI911">
        <v>0</v>
      </c>
      <c r="AJ911">
        <v>0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116.45</v>
      </c>
      <c r="AR911">
        <v>0</v>
      </c>
      <c r="AS911">
        <v>0</v>
      </c>
      <c r="AT911">
        <v>0</v>
      </c>
      <c r="AU911">
        <v>0</v>
      </c>
      <c r="AV911">
        <v>0</v>
      </c>
      <c r="AW911">
        <v>0</v>
      </c>
      <c r="AX911">
        <v>0</v>
      </c>
      <c r="AY911">
        <v>0</v>
      </c>
      <c r="AZ911">
        <v>0</v>
      </c>
      <c r="BA911">
        <v>0</v>
      </c>
      <c r="BB911">
        <v>0</v>
      </c>
      <c r="BC911">
        <v>0</v>
      </c>
      <c r="BD911">
        <v>0</v>
      </c>
      <c r="BE911">
        <v>0</v>
      </c>
      <c r="BF911">
        <v>0</v>
      </c>
      <c r="BG911">
        <v>0</v>
      </c>
      <c r="BH911">
        <v>1</v>
      </c>
      <c r="BI911">
        <v>5</v>
      </c>
      <c r="BJ911">
        <v>1.9</v>
      </c>
      <c r="BK911">
        <v>5</v>
      </c>
      <c r="BL911">
        <v>347.04</v>
      </c>
      <c r="BM911">
        <v>52.06</v>
      </c>
      <c r="BN911">
        <v>399.1</v>
      </c>
      <c r="BO911">
        <v>399.1</v>
      </c>
      <c r="BQ911" t="s">
        <v>221</v>
      </c>
      <c r="BR911" t="s">
        <v>82</v>
      </c>
      <c r="BS911" s="3">
        <v>46000</v>
      </c>
      <c r="BT911" s="4">
        <v>0.29166666666666669</v>
      </c>
      <c r="BU911" t="s">
        <v>222</v>
      </c>
      <c r="BV911" t="s">
        <v>84</v>
      </c>
      <c r="BY911">
        <v>9600</v>
      </c>
      <c r="CC911" t="s">
        <v>219</v>
      </c>
      <c r="CD911">
        <v>2740</v>
      </c>
      <c r="CE911" t="s">
        <v>86</v>
      </c>
      <c r="CF911" s="3">
        <v>46001</v>
      </c>
      <c r="CI911">
        <v>1</v>
      </c>
      <c r="CJ911">
        <v>1</v>
      </c>
      <c r="CK911">
        <v>23</v>
      </c>
      <c r="CL911" t="s">
        <v>87</v>
      </c>
    </row>
    <row r="912" spans="1:90" x14ac:dyDescent="0.3">
      <c r="A912" t="s">
        <v>72</v>
      </c>
      <c r="B912" t="s">
        <v>73</v>
      </c>
      <c r="C912" t="s">
        <v>74</v>
      </c>
      <c r="E912" t="str">
        <f>"080069747317"</f>
        <v>080069747317</v>
      </c>
      <c r="F912" s="3">
        <v>45999</v>
      </c>
      <c r="G912">
        <v>202609</v>
      </c>
      <c r="H912" t="s">
        <v>75</v>
      </c>
      <c r="I912" t="s">
        <v>76</v>
      </c>
      <c r="J912" t="s">
        <v>77</v>
      </c>
      <c r="K912" t="s">
        <v>78</v>
      </c>
      <c r="L912" t="s">
        <v>141</v>
      </c>
      <c r="M912" t="s">
        <v>142</v>
      </c>
      <c r="N912" t="s">
        <v>587</v>
      </c>
      <c r="O912" t="s">
        <v>89</v>
      </c>
      <c r="P912" t="str">
        <f>"4170072290                    "</f>
        <v xml:space="preserve">4170072290                    </v>
      </c>
      <c r="Q912">
        <v>0</v>
      </c>
      <c r="R912">
        <v>0</v>
      </c>
      <c r="S912">
        <v>0</v>
      </c>
      <c r="T912">
        <v>0</v>
      </c>
      <c r="U912">
        <v>0</v>
      </c>
      <c r="V912">
        <v>0</v>
      </c>
      <c r="W912">
        <v>0</v>
      </c>
      <c r="X912">
        <v>0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0</v>
      </c>
      <c r="AE912">
        <v>0</v>
      </c>
      <c r="AF912">
        <v>0</v>
      </c>
      <c r="AG912">
        <v>0</v>
      </c>
      <c r="AH912">
        <v>0</v>
      </c>
      <c r="AI912">
        <v>0</v>
      </c>
      <c r="AJ912">
        <v>0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25.52</v>
      </c>
      <c r="AR912">
        <v>0</v>
      </c>
      <c r="AS912">
        <v>0</v>
      </c>
      <c r="AT912">
        <v>0</v>
      </c>
      <c r="AU912">
        <v>0</v>
      </c>
      <c r="AV912">
        <v>0</v>
      </c>
      <c r="AW912">
        <v>0</v>
      </c>
      <c r="AX912">
        <v>0</v>
      </c>
      <c r="AY912">
        <v>0</v>
      </c>
      <c r="AZ912">
        <v>0</v>
      </c>
      <c r="BA912">
        <v>0</v>
      </c>
      <c r="BB912">
        <v>0</v>
      </c>
      <c r="BC912">
        <v>0</v>
      </c>
      <c r="BD912">
        <v>0</v>
      </c>
      <c r="BE912">
        <v>0</v>
      </c>
      <c r="BF912">
        <v>0</v>
      </c>
      <c r="BG912">
        <v>0</v>
      </c>
      <c r="BH912">
        <v>1</v>
      </c>
      <c r="BI912">
        <v>1</v>
      </c>
      <c r="BJ912">
        <v>0.2</v>
      </c>
      <c r="BK912">
        <v>1</v>
      </c>
      <c r="BL912">
        <v>76.06</v>
      </c>
      <c r="BM912">
        <v>11.41</v>
      </c>
      <c r="BN912">
        <v>87.47</v>
      </c>
      <c r="BO912">
        <v>87.47</v>
      </c>
      <c r="BQ912" t="s">
        <v>588</v>
      </c>
      <c r="BR912" t="s">
        <v>82</v>
      </c>
      <c r="BS912" s="3">
        <v>46000</v>
      </c>
      <c r="BT912" s="4">
        <v>0.38680555555555557</v>
      </c>
      <c r="BU912" t="s">
        <v>589</v>
      </c>
      <c r="BV912" t="s">
        <v>84</v>
      </c>
      <c r="BY912">
        <v>1200</v>
      </c>
      <c r="CA912" t="s">
        <v>571</v>
      </c>
      <c r="CC912" t="s">
        <v>142</v>
      </c>
      <c r="CD912">
        <v>6001</v>
      </c>
      <c r="CE912" t="s">
        <v>134</v>
      </c>
      <c r="CF912" s="3">
        <v>46000</v>
      </c>
      <c r="CI912">
        <v>1</v>
      </c>
      <c r="CJ912">
        <v>1</v>
      </c>
      <c r="CK912">
        <v>21</v>
      </c>
      <c r="CL912" t="s">
        <v>87</v>
      </c>
    </row>
    <row r="913" spans="1:90" x14ac:dyDescent="0.3">
      <c r="A913" t="s">
        <v>72</v>
      </c>
      <c r="B913" t="s">
        <v>73</v>
      </c>
      <c r="C913" t="s">
        <v>74</v>
      </c>
      <c r="E913" t="str">
        <f>"080069747371"</f>
        <v>080069747371</v>
      </c>
      <c r="F913" s="3">
        <v>45999</v>
      </c>
      <c r="G913">
        <v>202609</v>
      </c>
      <c r="H913" t="s">
        <v>75</v>
      </c>
      <c r="I913" t="s">
        <v>76</v>
      </c>
      <c r="J913" t="s">
        <v>77</v>
      </c>
      <c r="K913" t="s">
        <v>78</v>
      </c>
      <c r="L913" t="s">
        <v>208</v>
      </c>
      <c r="M913" t="s">
        <v>209</v>
      </c>
      <c r="N913" t="s">
        <v>1683</v>
      </c>
      <c r="O913" t="s">
        <v>89</v>
      </c>
      <c r="P913" t="str">
        <f>"4170072252                    "</f>
        <v xml:space="preserve">4170072252                    </v>
      </c>
      <c r="Q913">
        <v>0</v>
      </c>
      <c r="R913">
        <v>0</v>
      </c>
      <c r="S913">
        <v>0</v>
      </c>
      <c r="T913">
        <v>0</v>
      </c>
      <c r="U913">
        <v>0</v>
      </c>
      <c r="V913">
        <v>0</v>
      </c>
      <c r="W913">
        <v>0</v>
      </c>
      <c r="X913">
        <v>0</v>
      </c>
      <c r="Y913">
        <v>0</v>
      </c>
      <c r="Z913">
        <v>0</v>
      </c>
      <c r="AA913">
        <v>0</v>
      </c>
      <c r="AB913">
        <v>0</v>
      </c>
      <c r="AC913">
        <v>0</v>
      </c>
      <c r="AD913">
        <v>0</v>
      </c>
      <c r="AE913">
        <v>0</v>
      </c>
      <c r="AF913">
        <v>0</v>
      </c>
      <c r="AG913">
        <v>0</v>
      </c>
      <c r="AH913">
        <v>0</v>
      </c>
      <c r="AI913">
        <v>0</v>
      </c>
      <c r="AJ913">
        <v>0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25.52</v>
      </c>
      <c r="AR913">
        <v>0</v>
      </c>
      <c r="AS913">
        <v>0</v>
      </c>
      <c r="AT913">
        <v>0</v>
      </c>
      <c r="AU913">
        <v>0</v>
      </c>
      <c r="AV913">
        <v>0</v>
      </c>
      <c r="AW913">
        <v>0</v>
      </c>
      <c r="AX913">
        <v>0</v>
      </c>
      <c r="AY913">
        <v>0</v>
      </c>
      <c r="AZ913">
        <v>0</v>
      </c>
      <c r="BA913">
        <v>0</v>
      </c>
      <c r="BB913">
        <v>0</v>
      </c>
      <c r="BC913">
        <v>0</v>
      </c>
      <c r="BD913">
        <v>0</v>
      </c>
      <c r="BE913">
        <v>0</v>
      </c>
      <c r="BF913">
        <v>0</v>
      </c>
      <c r="BG913">
        <v>0</v>
      </c>
      <c r="BH913">
        <v>1</v>
      </c>
      <c r="BI913">
        <v>1</v>
      </c>
      <c r="BJ913">
        <v>0.2</v>
      </c>
      <c r="BK913">
        <v>1</v>
      </c>
      <c r="BL913">
        <v>76.06</v>
      </c>
      <c r="BM913">
        <v>11.41</v>
      </c>
      <c r="BN913">
        <v>87.47</v>
      </c>
      <c r="BO913">
        <v>87.47</v>
      </c>
      <c r="BQ913" t="s">
        <v>1684</v>
      </c>
      <c r="BR913" t="s">
        <v>82</v>
      </c>
      <c r="BS913" s="3">
        <v>46001</v>
      </c>
      <c r="BT913" s="4">
        <v>0.40555555555555556</v>
      </c>
      <c r="BU913" t="s">
        <v>1685</v>
      </c>
      <c r="BV913" t="s">
        <v>87</v>
      </c>
      <c r="BW913" t="s">
        <v>174</v>
      </c>
      <c r="BX913" t="s">
        <v>593</v>
      </c>
      <c r="BY913">
        <v>1200</v>
      </c>
      <c r="CA913" s="5" t="s">
        <v>1686</v>
      </c>
      <c r="CC913" t="s">
        <v>209</v>
      </c>
      <c r="CD913" s="5" t="s">
        <v>213</v>
      </c>
      <c r="CE913" t="s">
        <v>134</v>
      </c>
      <c r="CF913" s="3">
        <v>46001</v>
      </c>
      <c r="CI913">
        <v>1</v>
      </c>
      <c r="CJ913">
        <v>2</v>
      </c>
      <c r="CK913">
        <v>21</v>
      </c>
      <c r="CL913" t="s">
        <v>87</v>
      </c>
    </row>
    <row r="914" spans="1:90" x14ac:dyDescent="0.3">
      <c r="A914" t="s">
        <v>72</v>
      </c>
      <c r="B914" t="s">
        <v>73</v>
      </c>
      <c r="C914" t="s">
        <v>74</v>
      </c>
      <c r="E914" t="str">
        <f>"080069747404"</f>
        <v>080069747404</v>
      </c>
      <c r="F914" s="3">
        <v>45999</v>
      </c>
      <c r="G914">
        <v>202609</v>
      </c>
      <c r="H914" t="s">
        <v>75</v>
      </c>
      <c r="I914" t="s">
        <v>76</v>
      </c>
      <c r="J914" t="s">
        <v>77</v>
      </c>
      <c r="K914" t="s">
        <v>78</v>
      </c>
      <c r="L914" t="s">
        <v>265</v>
      </c>
      <c r="M914" t="s">
        <v>266</v>
      </c>
      <c r="N914" t="s">
        <v>1608</v>
      </c>
      <c r="O914" t="s">
        <v>89</v>
      </c>
      <c r="P914" t="str">
        <f>"4170072304                    "</f>
        <v xml:space="preserve">4170072304                    </v>
      </c>
      <c r="Q914">
        <v>0</v>
      </c>
      <c r="R914">
        <v>0</v>
      </c>
      <c r="S914">
        <v>0</v>
      </c>
      <c r="T914">
        <v>0</v>
      </c>
      <c r="U914">
        <v>0</v>
      </c>
      <c r="V914">
        <v>0</v>
      </c>
      <c r="W914">
        <v>0</v>
      </c>
      <c r="X914">
        <v>0</v>
      </c>
      <c r="Y914">
        <v>0</v>
      </c>
      <c r="Z914">
        <v>0</v>
      </c>
      <c r="AA914">
        <v>0</v>
      </c>
      <c r="AB914">
        <v>0</v>
      </c>
      <c r="AC914">
        <v>0</v>
      </c>
      <c r="AD914">
        <v>0</v>
      </c>
      <c r="AE914">
        <v>0</v>
      </c>
      <c r="AF914">
        <v>0</v>
      </c>
      <c r="AG914">
        <v>0</v>
      </c>
      <c r="AH914">
        <v>0</v>
      </c>
      <c r="AI914">
        <v>0</v>
      </c>
      <c r="AJ914">
        <v>0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19.940000000000001</v>
      </c>
      <c r="AR914">
        <v>0</v>
      </c>
      <c r="AS914">
        <v>0</v>
      </c>
      <c r="AT914">
        <v>0</v>
      </c>
      <c r="AU914">
        <v>0</v>
      </c>
      <c r="AV914">
        <v>0</v>
      </c>
      <c r="AW914">
        <v>0</v>
      </c>
      <c r="AX914">
        <v>0</v>
      </c>
      <c r="AY914">
        <v>0</v>
      </c>
      <c r="AZ914">
        <v>0</v>
      </c>
      <c r="BA914">
        <v>0</v>
      </c>
      <c r="BB914">
        <v>0</v>
      </c>
      <c r="BC914">
        <v>0</v>
      </c>
      <c r="BD914">
        <v>0</v>
      </c>
      <c r="BE914">
        <v>0</v>
      </c>
      <c r="BF914">
        <v>0</v>
      </c>
      <c r="BG914">
        <v>0</v>
      </c>
      <c r="BH914">
        <v>1</v>
      </c>
      <c r="BI914">
        <v>1</v>
      </c>
      <c r="BJ914">
        <v>1.1000000000000001</v>
      </c>
      <c r="BK914">
        <v>2</v>
      </c>
      <c r="BL914">
        <v>59.42</v>
      </c>
      <c r="BM914">
        <v>8.91</v>
      </c>
      <c r="BN914">
        <v>68.33</v>
      </c>
      <c r="BO914">
        <v>68.33</v>
      </c>
      <c r="BQ914" t="s">
        <v>1609</v>
      </c>
      <c r="BR914" t="s">
        <v>82</v>
      </c>
      <c r="BS914" s="3">
        <v>46000</v>
      </c>
      <c r="BT914" s="4">
        <v>0.35138888888888886</v>
      </c>
      <c r="BU914" t="s">
        <v>1687</v>
      </c>
      <c r="BV914" t="s">
        <v>84</v>
      </c>
      <c r="BY914">
        <v>5320</v>
      </c>
      <c r="CA914" t="s">
        <v>1330</v>
      </c>
      <c r="CC914" t="s">
        <v>266</v>
      </c>
      <c r="CD914">
        <v>1459</v>
      </c>
      <c r="CE914" t="s">
        <v>86</v>
      </c>
      <c r="CF914" s="3">
        <v>46000</v>
      </c>
      <c r="CI914">
        <v>1</v>
      </c>
      <c r="CJ914">
        <v>1</v>
      </c>
      <c r="CK914">
        <v>22</v>
      </c>
      <c r="CL914" t="s">
        <v>87</v>
      </c>
    </row>
    <row r="915" spans="1:90" x14ac:dyDescent="0.3">
      <c r="A915" t="s">
        <v>72</v>
      </c>
      <c r="B915" t="s">
        <v>73</v>
      </c>
      <c r="C915" t="s">
        <v>74</v>
      </c>
      <c r="E915" t="str">
        <f>"080069747467"</f>
        <v>080069747467</v>
      </c>
      <c r="F915" s="3">
        <v>45999</v>
      </c>
      <c r="G915">
        <v>202609</v>
      </c>
      <c r="H915" t="s">
        <v>75</v>
      </c>
      <c r="I915" t="s">
        <v>76</v>
      </c>
      <c r="J915" t="s">
        <v>77</v>
      </c>
      <c r="K915" t="s">
        <v>78</v>
      </c>
      <c r="L915" t="s">
        <v>302</v>
      </c>
      <c r="M915" t="s">
        <v>303</v>
      </c>
      <c r="N915" t="s">
        <v>347</v>
      </c>
      <c r="O915" t="s">
        <v>80</v>
      </c>
      <c r="P915" t="str">
        <f>"4170072088                    "</f>
        <v xml:space="preserve">4170072088                    </v>
      </c>
      <c r="Q915">
        <v>0</v>
      </c>
      <c r="R915">
        <v>0</v>
      </c>
      <c r="S915">
        <v>0</v>
      </c>
      <c r="T915">
        <v>0</v>
      </c>
      <c r="U915">
        <v>0</v>
      </c>
      <c r="V915">
        <v>0</v>
      </c>
      <c r="W915">
        <v>0</v>
      </c>
      <c r="X915">
        <v>0</v>
      </c>
      <c r="Y915">
        <v>0</v>
      </c>
      <c r="Z915">
        <v>0</v>
      </c>
      <c r="AA915">
        <v>0</v>
      </c>
      <c r="AB915">
        <v>0</v>
      </c>
      <c r="AC915">
        <v>0</v>
      </c>
      <c r="AD915">
        <v>0</v>
      </c>
      <c r="AE915">
        <v>0</v>
      </c>
      <c r="AF915">
        <v>0</v>
      </c>
      <c r="AG915">
        <v>0</v>
      </c>
      <c r="AH915">
        <v>0</v>
      </c>
      <c r="AI915">
        <v>0</v>
      </c>
      <c r="AJ915">
        <v>0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49.36</v>
      </c>
      <c r="AR915">
        <v>0</v>
      </c>
      <c r="AS915">
        <v>0</v>
      </c>
      <c r="AT915">
        <v>0</v>
      </c>
      <c r="AU915">
        <v>0</v>
      </c>
      <c r="AV915">
        <v>0</v>
      </c>
      <c r="AW915">
        <v>0</v>
      </c>
      <c r="AX915">
        <v>0</v>
      </c>
      <c r="AY915">
        <v>0</v>
      </c>
      <c r="AZ915">
        <v>0</v>
      </c>
      <c r="BA915">
        <v>0</v>
      </c>
      <c r="BB915">
        <v>0</v>
      </c>
      <c r="BC915">
        <v>0</v>
      </c>
      <c r="BD915">
        <v>0</v>
      </c>
      <c r="BE915">
        <v>0</v>
      </c>
      <c r="BF915">
        <v>0</v>
      </c>
      <c r="BG915">
        <v>0</v>
      </c>
      <c r="BH915">
        <v>1</v>
      </c>
      <c r="BI915">
        <v>3</v>
      </c>
      <c r="BJ915">
        <v>9.6</v>
      </c>
      <c r="BK915">
        <v>10</v>
      </c>
      <c r="BL915">
        <v>153.19999999999999</v>
      </c>
      <c r="BM915">
        <v>22.98</v>
      </c>
      <c r="BN915">
        <v>176.18</v>
      </c>
      <c r="BO915">
        <v>176.18</v>
      </c>
      <c r="BQ915" t="s">
        <v>348</v>
      </c>
      <c r="BR915" t="s">
        <v>82</v>
      </c>
      <c r="BS915" s="3">
        <v>46000</v>
      </c>
      <c r="BT915" s="4">
        <v>0.43263888888888891</v>
      </c>
      <c r="BU915" t="s">
        <v>920</v>
      </c>
      <c r="BV915" t="s">
        <v>84</v>
      </c>
      <c r="BY915">
        <v>48020</v>
      </c>
      <c r="CA915">
        <v>8507115621084</v>
      </c>
      <c r="CC915" t="s">
        <v>303</v>
      </c>
      <c r="CD915" s="5" t="s">
        <v>350</v>
      </c>
      <c r="CE915" t="s">
        <v>229</v>
      </c>
      <c r="CF915" s="3">
        <v>46000</v>
      </c>
      <c r="CI915">
        <v>1</v>
      </c>
      <c r="CJ915">
        <v>1</v>
      </c>
      <c r="CK915">
        <v>41</v>
      </c>
      <c r="CL915" t="s">
        <v>87</v>
      </c>
    </row>
    <row r="916" spans="1:90" x14ac:dyDescent="0.3">
      <c r="A916" t="s">
        <v>72</v>
      </c>
      <c r="B916" t="s">
        <v>73</v>
      </c>
      <c r="C916" t="s">
        <v>74</v>
      </c>
      <c r="E916" t="str">
        <f>"080069747831"</f>
        <v>080069747831</v>
      </c>
      <c r="F916" s="3">
        <v>45999</v>
      </c>
      <c r="G916">
        <v>202609</v>
      </c>
      <c r="H916" t="s">
        <v>75</v>
      </c>
      <c r="I916" t="s">
        <v>76</v>
      </c>
      <c r="J916" t="s">
        <v>77</v>
      </c>
      <c r="K916" t="s">
        <v>78</v>
      </c>
      <c r="L916" t="s">
        <v>128</v>
      </c>
      <c r="M916" t="s">
        <v>129</v>
      </c>
      <c r="N916" t="s">
        <v>1688</v>
      </c>
      <c r="O916" t="s">
        <v>89</v>
      </c>
      <c r="P916" t="str">
        <f>"4170072098                    "</f>
        <v xml:space="preserve">4170072098                    </v>
      </c>
      <c r="Q916">
        <v>0</v>
      </c>
      <c r="R916">
        <v>0</v>
      </c>
      <c r="S916">
        <v>0</v>
      </c>
      <c r="T916">
        <v>0</v>
      </c>
      <c r="U916">
        <v>0</v>
      </c>
      <c r="V916">
        <v>0</v>
      </c>
      <c r="W916">
        <v>0</v>
      </c>
      <c r="X916">
        <v>0</v>
      </c>
      <c r="Y916">
        <v>0</v>
      </c>
      <c r="Z916">
        <v>0</v>
      </c>
      <c r="AA916">
        <v>0</v>
      </c>
      <c r="AB916">
        <v>0</v>
      </c>
      <c r="AC916">
        <v>0</v>
      </c>
      <c r="AD916">
        <v>0</v>
      </c>
      <c r="AE916">
        <v>0</v>
      </c>
      <c r="AF916">
        <v>0</v>
      </c>
      <c r="AG916">
        <v>0</v>
      </c>
      <c r="AH916">
        <v>0</v>
      </c>
      <c r="AI916">
        <v>0</v>
      </c>
      <c r="AJ916">
        <v>0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25.52</v>
      </c>
      <c r="AR916">
        <v>0</v>
      </c>
      <c r="AS916">
        <v>0</v>
      </c>
      <c r="AT916">
        <v>0</v>
      </c>
      <c r="AU916">
        <v>0</v>
      </c>
      <c r="AV916">
        <v>0</v>
      </c>
      <c r="AW916">
        <v>0</v>
      </c>
      <c r="AX916">
        <v>0</v>
      </c>
      <c r="AY916">
        <v>0</v>
      </c>
      <c r="AZ916">
        <v>0</v>
      </c>
      <c r="BA916">
        <v>0</v>
      </c>
      <c r="BB916">
        <v>0</v>
      </c>
      <c r="BC916">
        <v>0</v>
      </c>
      <c r="BD916">
        <v>0</v>
      </c>
      <c r="BE916">
        <v>0</v>
      </c>
      <c r="BF916">
        <v>0</v>
      </c>
      <c r="BG916">
        <v>0</v>
      </c>
      <c r="BH916">
        <v>1</v>
      </c>
      <c r="BI916">
        <v>1</v>
      </c>
      <c r="BJ916">
        <v>0.2</v>
      </c>
      <c r="BK916">
        <v>1</v>
      </c>
      <c r="BL916">
        <v>76.06</v>
      </c>
      <c r="BM916">
        <v>11.41</v>
      </c>
      <c r="BN916">
        <v>87.47</v>
      </c>
      <c r="BO916">
        <v>87.47</v>
      </c>
      <c r="BQ916" t="s">
        <v>1689</v>
      </c>
      <c r="BR916" t="s">
        <v>82</v>
      </c>
      <c r="BS916" s="3">
        <v>46001</v>
      </c>
      <c r="BT916" s="4">
        <v>0.58125000000000004</v>
      </c>
      <c r="BU916" t="s">
        <v>1690</v>
      </c>
      <c r="BV916" t="s">
        <v>84</v>
      </c>
      <c r="BY916">
        <v>1200</v>
      </c>
      <c r="CA916" t="s">
        <v>133</v>
      </c>
      <c r="CC916" t="s">
        <v>129</v>
      </c>
      <c r="CD916">
        <v>5201</v>
      </c>
      <c r="CE916" t="s">
        <v>134</v>
      </c>
      <c r="CF916" s="3">
        <v>46002</v>
      </c>
      <c r="CI916">
        <v>5</v>
      </c>
      <c r="CJ916">
        <v>2</v>
      </c>
      <c r="CK916">
        <v>21</v>
      </c>
      <c r="CL916" t="s">
        <v>87</v>
      </c>
    </row>
    <row r="917" spans="1:90" x14ac:dyDescent="0.3">
      <c r="A917" t="s">
        <v>72</v>
      </c>
      <c r="B917" t="s">
        <v>73</v>
      </c>
      <c r="C917" t="s">
        <v>74</v>
      </c>
      <c r="E917" t="str">
        <f>"080069747874"</f>
        <v>080069747874</v>
      </c>
      <c r="F917" s="3">
        <v>45999</v>
      </c>
      <c r="G917">
        <v>202609</v>
      </c>
      <c r="H917" t="s">
        <v>75</v>
      </c>
      <c r="I917" t="s">
        <v>76</v>
      </c>
      <c r="J917" t="s">
        <v>77</v>
      </c>
      <c r="K917" t="s">
        <v>78</v>
      </c>
      <c r="L917" t="s">
        <v>128</v>
      </c>
      <c r="M917" t="s">
        <v>129</v>
      </c>
      <c r="N917" t="s">
        <v>383</v>
      </c>
      <c r="O917" t="s">
        <v>89</v>
      </c>
      <c r="P917" t="str">
        <f>"4170072307                    "</f>
        <v xml:space="preserve">4170072307                    </v>
      </c>
      <c r="Q917">
        <v>0</v>
      </c>
      <c r="R917">
        <v>0</v>
      </c>
      <c r="S917">
        <v>0</v>
      </c>
      <c r="T917">
        <v>0</v>
      </c>
      <c r="U917">
        <v>0</v>
      </c>
      <c r="V917">
        <v>0</v>
      </c>
      <c r="W917">
        <v>0</v>
      </c>
      <c r="X917">
        <v>0</v>
      </c>
      <c r="Y917">
        <v>0</v>
      </c>
      <c r="Z917">
        <v>0</v>
      </c>
      <c r="AA917">
        <v>0</v>
      </c>
      <c r="AB917">
        <v>0</v>
      </c>
      <c r="AC917">
        <v>0</v>
      </c>
      <c r="AD917">
        <v>0</v>
      </c>
      <c r="AE917">
        <v>0</v>
      </c>
      <c r="AF917">
        <v>0</v>
      </c>
      <c r="AG917">
        <v>0</v>
      </c>
      <c r="AH917">
        <v>0</v>
      </c>
      <c r="AI917">
        <v>0</v>
      </c>
      <c r="AJ917">
        <v>0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25.52</v>
      </c>
      <c r="AR917">
        <v>0</v>
      </c>
      <c r="AS917">
        <v>0</v>
      </c>
      <c r="AT917">
        <v>0</v>
      </c>
      <c r="AU917">
        <v>0</v>
      </c>
      <c r="AV917">
        <v>0</v>
      </c>
      <c r="AW917">
        <v>0</v>
      </c>
      <c r="AX917">
        <v>0</v>
      </c>
      <c r="AY917">
        <v>0</v>
      </c>
      <c r="AZ917">
        <v>0</v>
      </c>
      <c r="BA917">
        <v>0</v>
      </c>
      <c r="BB917">
        <v>0</v>
      </c>
      <c r="BC917">
        <v>0</v>
      </c>
      <c r="BD917">
        <v>0</v>
      </c>
      <c r="BE917">
        <v>0</v>
      </c>
      <c r="BF917">
        <v>0</v>
      </c>
      <c r="BG917">
        <v>0</v>
      </c>
      <c r="BH917">
        <v>1</v>
      </c>
      <c r="BI917">
        <v>1</v>
      </c>
      <c r="BJ917">
        <v>0.2</v>
      </c>
      <c r="BK917">
        <v>1</v>
      </c>
      <c r="BL917">
        <v>76.06</v>
      </c>
      <c r="BM917">
        <v>11.41</v>
      </c>
      <c r="BN917">
        <v>87.47</v>
      </c>
      <c r="BO917">
        <v>87.47</v>
      </c>
      <c r="BQ917" t="s">
        <v>384</v>
      </c>
      <c r="BR917" t="s">
        <v>82</v>
      </c>
      <c r="BS917" s="3">
        <v>46001</v>
      </c>
      <c r="BT917" s="4">
        <v>0.52083333333333337</v>
      </c>
      <c r="BU917" t="s">
        <v>1691</v>
      </c>
      <c r="BV917" t="s">
        <v>87</v>
      </c>
      <c r="BW917" t="s">
        <v>186</v>
      </c>
      <c r="BX917" t="s">
        <v>187</v>
      </c>
      <c r="BY917">
        <v>1200</v>
      </c>
      <c r="CA917" t="s">
        <v>1692</v>
      </c>
      <c r="CC917" t="s">
        <v>129</v>
      </c>
      <c r="CD917">
        <v>5201</v>
      </c>
      <c r="CE917" t="s">
        <v>134</v>
      </c>
      <c r="CF917" s="3">
        <v>46002</v>
      </c>
      <c r="CI917">
        <v>1</v>
      </c>
      <c r="CJ917">
        <v>2</v>
      </c>
      <c r="CK917">
        <v>21</v>
      </c>
      <c r="CL917" t="s">
        <v>87</v>
      </c>
    </row>
    <row r="918" spans="1:90" x14ac:dyDescent="0.3">
      <c r="A918" t="s">
        <v>72</v>
      </c>
      <c r="B918" t="s">
        <v>73</v>
      </c>
      <c r="C918" t="s">
        <v>74</v>
      </c>
      <c r="E918" t="str">
        <f>"080069747911"</f>
        <v>080069747911</v>
      </c>
      <c r="F918" s="3">
        <v>45999</v>
      </c>
      <c r="G918">
        <v>202609</v>
      </c>
      <c r="H918" t="s">
        <v>75</v>
      </c>
      <c r="I918" t="s">
        <v>76</v>
      </c>
      <c r="J918" t="s">
        <v>77</v>
      </c>
      <c r="K918" t="s">
        <v>78</v>
      </c>
      <c r="L918" t="s">
        <v>548</v>
      </c>
      <c r="M918" t="s">
        <v>549</v>
      </c>
      <c r="N918" t="s">
        <v>572</v>
      </c>
      <c r="O918" t="s">
        <v>89</v>
      </c>
      <c r="P918" t="str">
        <f>"4170072261                    "</f>
        <v xml:space="preserve">4170072261                    </v>
      </c>
      <c r="Q918">
        <v>0</v>
      </c>
      <c r="R918">
        <v>0</v>
      </c>
      <c r="S918">
        <v>0</v>
      </c>
      <c r="T918">
        <v>0</v>
      </c>
      <c r="U918">
        <v>0</v>
      </c>
      <c r="V918">
        <v>0</v>
      </c>
      <c r="W918">
        <v>0</v>
      </c>
      <c r="X918">
        <v>0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>
        <v>0</v>
      </c>
      <c r="AG918">
        <v>0</v>
      </c>
      <c r="AH918">
        <v>0</v>
      </c>
      <c r="AI918">
        <v>0</v>
      </c>
      <c r="AJ918">
        <v>0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94.12</v>
      </c>
      <c r="AR918">
        <v>0</v>
      </c>
      <c r="AS918">
        <v>0</v>
      </c>
      <c r="AT918">
        <v>0</v>
      </c>
      <c r="AU918">
        <v>0</v>
      </c>
      <c r="AV918">
        <v>0</v>
      </c>
      <c r="AW918">
        <v>0</v>
      </c>
      <c r="AX918">
        <v>0</v>
      </c>
      <c r="AY918">
        <v>0</v>
      </c>
      <c r="AZ918">
        <v>0</v>
      </c>
      <c r="BA918">
        <v>0</v>
      </c>
      <c r="BB918">
        <v>0</v>
      </c>
      <c r="BC918">
        <v>0</v>
      </c>
      <c r="BD918">
        <v>0</v>
      </c>
      <c r="BE918">
        <v>0</v>
      </c>
      <c r="BF918">
        <v>0</v>
      </c>
      <c r="BG918">
        <v>0</v>
      </c>
      <c r="BH918">
        <v>1</v>
      </c>
      <c r="BI918">
        <v>4</v>
      </c>
      <c r="BJ918">
        <v>3.4</v>
      </c>
      <c r="BK918">
        <v>4</v>
      </c>
      <c r="BL918">
        <v>280.49</v>
      </c>
      <c r="BM918">
        <v>42.07</v>
      </c>
      <c r="BN918">
        <v>322.56</v>
      </c>
      <c r="BO918">
        <v>322.56</v>
      </c>
      <c r="BQ918" t="s">
        <v>573</v>
      </c>
      <c r="BR918" t="s">
        <v>82</v>
      </c>
      <c r="BS918" s="3">
        <v>46000</v>
      </c>
      <c r="BT918" s="4">
        <v>0.43402777777777779</v>
      </c>
      <c r="BU918" t="s">
        <v>574</v>
      </c>
      <c r="BV918" t="s">
        <v>84</v>
      </c>
      <c r="BY918">
        <v>16965</v>
      </c>
      <c r="CA918">
        <v>9703035538081</v>
      </c>
      <c r="CC918" t="s">
        <v>549</v>
      </c>
      <c r="CD918">
        <v>2302</v>
      </c>
      <c r="CE918" t="s">
        <v>86</v>
      </c>
      <c r="CF918" s="3">
        <v>46001</v>
      </c>
      <c r="CI918">
        <v>1</v>
      </c>
      <c r="CJ918">
        <v>1</v>
      </c>
      <c r="CK918">
        <v>23</v>
      </c>
      <c r="CL918" t="s">
        <v>87</v>
      </c>
    </row>
    <row r="919" spans="1:90" x14ac:dyDescent="0.3">
      <c r="A919" t="s">
        <v>72</v>
      </c>
      <c r="B919" t="s">
        <v>73</v>
      </c>
      <c r="C919" t="s">
        <v>74</v>
      </c>
      <c r="E919" t="str">
        <f>"080069747988"</f>
        <v>080069747988</v>
      </c>
      <c r="F919" s="3">
        <v>45999</v>
      </c>
      <c r="G919">
        <v>202609</v>
      </c>
      <c r="H919" t="s">
        <v>75</v>
      </c>
      <c r="I919" t="s">
        <v>76</v>
      </c>
      <c r="J919" t="s">
        <v>77</v>
      </c>
      <c r="K919" t="s">
        <v>78</v>
      </c>
      <c r="L919" t="s">
        <v>141</v>
      </c>
      <c r="M919" t="s">
        <v>142</v>
      </c>
      <c r="N919" t="s">
        <v>587</v>
      </c>
      <c r="O919" t="s">
        <v>89</v>
      </c>
      <c r="P919" t="str">
        <f>"4170072289                    "</f>
        <v xml:space="preserve">4170072289                    </v>
      </c>
      <c r="Q919">
        <v>0</v>
      </c>
      <c r="R919">
        <v>0</v>
      </c>
      <c r="S919">
        <v>0</v>
      </c>
      <c r="T919">
        <v>0</v>
      </c>
      <c r="U919">
        <v>0</v>
      </c>
      <c r="V919">
        <v>0</v>
      </c>
      <c r="W919">
        <v>0</v>
      </c>
      <c r="X919">
        <v>0</v>
      </c>
      <c r="Y919">
        <v>0</v>
      </c>
      <c r="Z919">
        <v>0</v>
      </c>
      <c r="AA919">
        <v>0</v>
      </c>
      <c r="AB919">
        <v>0</v>
      </c>
      <c r="AC919">
        <v>0</v>
      </c>
      <c r="AD919">
        <v>0</v>
      </c>
      <c r="AE919">
        <v>0</v>
      </c>
      <c r="AF919">
        <v>0</v>
      </c>
      <c r="AG919">
        <v>0</v>
      </c>
      <c r="AH919">
        <v>0</v>
      </c>
      <c r="AI919">
        <v>0</v>
      </c>
      <c r="AJ919">
        <v>0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25.52</v>
      </c>
      <c r="AR919">
        <v>0</v>
      </c>
      <c r="AS919">
        <v>0</v>
      </c>
      <c r="AT919">
        <v>0</v>
      </c>
      <c r="AU919">
        <v>0</v>
      </c>
      <c r="AV919">
        <v>0</v>
      </c>
      <c r="AW919">
        <v>0</v>
      </c>
      <c r="AX919">
        <v>0</v>
      </c>
      <c r="AY919">
        <v>0</v>
      </c>
      <c r="AZ919">
        <v>0</v>
      </c>
      <c r="BA919">
        <v>0</v>
      </c>
      <c r="BB919">
        <v>0</v>
      </c>
      <c r="BC919">
        <v>0</v>
      </c>
      <c r="BD919">
        <v>0</v>
      </c>
      <c r="BE919">
        <v>0</v>
      </c>
      <c r="BF919">
        <v>0</v>
      </c>
      <c r="BG919">
        <v>0</v>
      </c>
      <c r="BH919">
        <v>1</v>
      </c>
      <c r="BI919">
        <v>1</v>
      </c>
      <c r="BJ919">
        <v>0.7</v>
      </c>
      <c r="BK919">
        <v>1</v>
      </c>
      <c r="BL919">
        <v>76.06</v>
      </c>
      <c r="BM919">
        <v>11.41</v>
      </c>
      <c r="BN919">
        <v>87.47</v>
      </c>
      <c r="BO919">
        <v>87.47</v>
      </c>
      <c r="BQ919" t="s">
        <v>588</v>
      </c>
      <c r="BR919" t="s">
        <v>82</v>
      </c>
      <c r="BS919" s="3">
        <v>46000</v>
      </c>
      <c r="BT919" s="4">
        <v>0.38680555555555557</v>
      </c>
      <c r="BU919" t="s">
        <v>589</v>
      </c>
      <c r="BV919" t="s">
        <v>84</v>
      </c>
      <c r="BY919">
        <v>3306</v>
      </c>
      <c r="CA919" t="s">
        <v>571</v>
      </c>
      <c r="CC919" t="s">
        <v>142</v>
      </c>
      <c r="CD919">
        <v>6001</v>
      </c>
      <c r="CE919" t="s">
        <v>86</v>
      </c>
      <c r="CF919" s="3">
        <v>46000</v>
      </c>
      <c r="CI919">
        <v>1</v>
      </c>
      <c r="CJ919">
        <v>1</v>
      </c>
      <c r="CK919">
        <v>21</v>
      </c>
      <c r="CL919" t="s">
        <v>87</v>
      </c>
    </row>
    <row r="920" spans="1:90" x14ac:dyDescent="0.3">
      <c r="A920" t="s">
        <v>72</v>
      </c>
      <c r="B920" t="s">
        <v>73</v>
      </c>
      <c r="C920" t="s">
        <v>74</v>
      </c>
      <c r="E920" t="str">
        <f>"080069747991"</f>
        <v>080069747991</v>
      </c>
      <c r="F920" s="3">
        <v>45999</v>
      </c>
      <c r="G920">
        <v>202609</v>
      </c>
      <c r="H920" t="s">
        <v>75</v>
      </c>
      <c r="I920" t="s">
        <v>76</v>
      </c>
      <c r="J920" t="s">
        <v>77</v>
      </c>
      <c r="K920" t="s">
        <v>78</v>
      </c>
      <c r="L920" t="s">
        <v>141</v>
      </c>
      <c r="M920" t="s">
        <v>142</v>
      </c>
      <c r="N920" t="s">
        <v>675</v>
      </c>
      <c r="O920" t="s">
        <v>89</v>
      </c>
      <c r="P920" t="str">
        <f>"4170072229                    "</f>
        <v xml:space="preserve">4170072229                    </v>
      </c>
      <c r="Q920">
        <v>0</v>
      </c>
      <c r="R920">
        <v>0</v>
      </c>
      <c r="S920">
        <v>0</v>
      </c>
      <c r="T920">
        <v>0</v>
      </c>
      <c r="U920">
        <v>0</v>
      </c>
      <c r="V920">
        <v>0</v>
      </c>
      <c r="W920">
        <v>0</v>
      </c>
      <c r="X920">
        <v>0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0</v>
      </c>
      <c r="AE920">
        <v>0</v>
      </c>
      <c r="AF920">
        <v>0</v>
      </c>
      <c r="AG920">
        <v>0</v>
      </c>
      <c r="AH920">
        <v>0</v>
      </c>
      <c r="AI920">
        <v>0</v>
      </c>
      <c r="AJ920">
        <v>0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25.52</v>
      </c>
      <c r="AR920">
        <v>0</v>
      </c>
      <c r="AS920">
        <v>0</v>
      </c>
      <c r="AT920">
        <v>0</v>
      </c>
      <c r="AU920">
        <v>0</v>
      </c>
      <c r="AV920">
        <v>0</v>
      </c>
      <c r="AW920">
        <v>0</v>
      </c>
      <c r="AX920">
        <v>0</v>
      </c>
      <c r="AY920">
        <v>0</v>
      </c>
      <c r="AZ920">
        <v>0</v>
      </c>
      <c r="BA920">
        <v>0</v>
      </c>
      <c r="BB920">
        <v>0</v>
      </c>
      <c r="BC920">
        <v>0</v>
      </c>
      <c r="BD920">
        <v>0</v>
      </c>
      <c r="BE920">
        <v>0</v>
      </c>
      <c r="BF920">
        <v>0</v>
      </c>
      <c r="BG920">
        <v>0</v>
      </c>
      <c r="BH920">
        <v>1</v>
      </c>
      <c r="BI920">
        <v>1</v>
      </c>
      <c r="BJ920">
        <v>0.2</v>
      </c>
      <c r="BK920">
        <v>1</v>
      </c>
      <c r="BL920">
        <v>76.06</v>
      </c>
      <c r="BM920">
        <v>11.41</v>
      </c>
      <c r="BN920">
        <v>87.47</v>
      </c>
      <c r="BO920">
        <v>87.47</v>
      </c>
      <c r="BQ920" t="s">
        <v>676</v>
      </c>
      <c r="BR920" t="s">
        <v>82</v>
      </c>
      <c r="BS920" s="3">
        <v>46000</v>
      </c>
      <c r="BT920" s="4">
        <v>0.43055555555555558</v>
      </c>
      <c r="BU920" t="s">
        <v>1693</v>
      </c>
      <c r="BV920" t="s">
        <v>84</v>
      </c>
      <c r="BY920">
        <v>1200</v>
      </c>
      <c r="CA920" t="s">
        <v>1228</v>
      </c>
      <c r="CC920" t="s">
        <v>142</v>
      </c>
      <c r="CD920">
        <v>6001</v>
      </c>
      <c r="CE920" t="s">
        <v>134</v>
      </c>
      <c r="CF920" s="3">
        <v>46000</v>
      </c>
      <c r="CI920">
        <v>1</v>
      </c>
      <c r="CJ920">
        <v>1</v>
      </c>
      <c r="CK920">
        <v>21</v>
      </c>
      <c r="CL920" t="s">
        <v>87</v>
      </c>
    </row>
    <row r="921" spans="1:90" x14ac:dyDescent="0.3">
      <c r="A921" t="s">
        <v>72</v>
      </c>
      <c r="B921" t="s">
        <v>73</v>
      </c>
      <c r="C921" t="s">
        <v>74</v>
      </c>
      <c r="E921" t="str">
        <f>"080069748057"</f>
        <v>080069748057</v>
      </c>
      <c r="F921" s="3">
        <v>45999</v>
      </c>
      <c r="G921">
        <v>202609</v>
      </c>
      <c r="H921" t="s">
        <v>75</v>
      </c>
      <c r="I921" t="s">
        <v>76</v>
      </c>
      <c r="J921" t="s">
        <v>77</v>
      </c>
      <c r="K921" t="s">
        <v>78</v>
      </c>
      <c r="L921" t="s">
        <v>283</v>
      </c>
      <c r="M921" t="s">
        <v>284</v>
      </c>
      <c r="N921" t="s">
        <v>285</v>
      </c>
      <c r="O921" t="s">
        <v>89</v>
      </c>
      <c r="P921" t="str">
        <f>"4170072149                    "</f>
        <v xml:space="preserve">4170072149                    </v>
      </c>
      <c r="Q921">
        <v>0</v>
      </c>
      <c r="R921">
        <v>0</v>
      </c>
      <c r="S921">
        <v>0</v>
      </c>
      <c r="T921">
        <v>0</v>
      </c>
      <c r="U921">
        <v>0</v>
      </c>
      <c r="V921">
        <v>0</v>
      </c>
      <c r="W921">
        <v>0</v>
      </c>
      <c r="X921">
        <v>0</v>
      </c>
      <c r="Y921">
        <v>0</v>
      </c>
      <c r="Z921">
        <v>0</v>
      </c>
      <c r="AA921">
        <v>0</v>
      </c>
      <c r="AB921">
        <v>0</v>
      </c>
      <c r="AC921">
        <v>0</v>
      </c>
      <c r="AD921">
        <v>0</v>
      </c>
      <c r="AE921">
        <v>0</v>
      </c>
      <c r="AF921">
        <v>0</v>
      </c>
      <c r="AG921">
        <v>0</v>
      </c>
      <c r="AH921">
        <v>0</v>
      </c>
      <c r="AI921">
        <v>0</v>
      </c>
      <c r="AJ921">
        <v>0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116.45</v>
      </c>
      <c r="AR921">
        <v>0</v>
      </c>
      <c r="AS921">
        <v>0</v>
      </c>
      <c r="AT921">
        <v>0</v>
      </c>
      <c r="AU921">
        <v>0</v>
      </c>
      <c r="AV921">
        <v>0</v>
      </c>
      <c r="AW921">
        <v>0</v>
      </c>
      <c r="AX921">
        <v>0</v>
      </c>
      <c r="AY921">
        <v>0</v>
      </c>
      <c r="AZ921">
        <v>0</v>
      </c>
      <c r="BA921">
        <v>0</v>
      </c>
      <c r="BB921">
        <v>0</v>
      </c>
      <c r="BC921">
        <v>0</v>
      </c>
      <c r="BD921">
        <v>0</v>
      </c>
      <c r="BE921">
        <v>0</v>
      </c>
      <c r="BF921">
        <v>0</v>
      </c>
      <c r="BG921">
        <v>0</v>
      </c>
      <c r="BH921">
        <v>1</v>
      </c>
      <c r="BI921">
        <v>5</v>
      </c>
      <c r="BJ921">
        <v>1.8</v>
      </c>
      <c r="BK921">
        <v>5</v>
      </c>
      <c r="BL921">
        <v>347.04</v>
      </c>
      <c r="BM921">
        <v>52.06</v>
      </c>
      <c r="BN921">
        <v>399.1</v>
      </c>
      <c r="BO921">
        <v>399.1</v>
      </c>
      <c r="BQ921" t="s">
        <v>286</v>
      </c>
      <c r="BR921" t="s">
        <v>82</v>
      </c>
      <c r="BS921" s="3">
        <v>46000</v>
      </c>
      <c r="BT921" s="4">
        <v>0.375</v>
      </c>
      <c r="BU921" t="s">
        <v>287</v>
      </c>
      <c r="BV921" t="s">
        <v>84</v>
      </c>
      <c r="BY921">
        <v>8816</v>
      </c>
      <c r="CA921">
        <v>6805135560080</v>
      </c>
      <c r="CC921" t="s">
        <v>284</v>
      </c>
      <c r="CD921">
        <v>1947</v>
      </c>
      <c r="CE921" t="s">
        <v>86</v>
      </c>
      <c r="CF921" s="3">
        <v>46001</v>
      </c>
      <c r="CI921">
        <v>1</v>
      </c>
      <c r="CJ921">
        <v>1</v>
      </c>
      <c r="CK921">
        <v>23</v>
      </c>
      <c r="CL921" t="s">
        <v>87</v>
      </c>
    </row>
    <row r="922" spans="1:90" x14ac:dyDescent="0.3">
      <c r="A922" t="s">
        <v>72</v>
      </c>
      <c r="B922" t="s">
        <v>73</v>
      </c>
      <c r="C922" t="s">
        <v>74</v>
      </c>
      <c r="E922" t="str">
        <f>"080069748071"</f>
        <v>080069748071</v>
      </c>
      <c r="F922" s="3">
        <v>45999</v>
      </c>
      <c r="G922">
        <v>202609</v>
      </c>
      <c r="H922" t="s">
        <v>75</v>
      </c>
      <c r="I922" t="s">
        <v>76</v>
      </c>
      <c r="J922" t="s">
        <v>77</v>
      </c>
      <c r="K922" t="s">
        <v>78</v>
      </c>
      <c r="L922" t="s">
        <v>100</v>
      </c>
      <c r="M922" t="s">
        <v>101</v>
      </c>
      <c r="N922" t="s">
        <v>199</v>
      </c>
      <c r="O922" t="s">
        <v>89</v>
      </c>
      <c r="P922" t="str">
        <f>"4170072082                    "</f>
        <v xml:space="preserve">4170072082                    </v>
      </c>
      <c r="Q922">
        <v>0</v>
      </c>
      <c r="R922">
        <v>0</v>
      </c>
      <c r="S922">
        <v>0</v>
      </c>
      <c r="T922">
        <v>0</v>
      </c>
      <c r="U922">
        <v>0</v>
      </c>
      <c r="V922">
        <v>0</v>
      </c>
      <c r="W922">
        <v>0</v>
      </c>
      <c r="X922">
        <v>0</v>
      </c>
      <c r="Y922">
        <v>0</v>
      </c>
      <c r="Z922">
        <v>0</v>
      </c>
      <c r="AA922">
        <v>0</v>
      </c>
      <c r="AB922">
        <v>0</v>
      </c>
      <c r="AC922">
        <v>0</v>
      </c>
      <c r="AD922">
        <v>0</v>
      </c>
      <c r="AE922">
        <v>0</v>
      </c>
      <c r="AF922">
        <v>0</v>
      </c>
      <c r="AG922">
        <v>0</v>
      </c>
      <c r="AH922">
        <v>0</v>
      </c>
      <c r="AI922">
        <v>0</v>
      </c>
      <c r="AJ922">
        <v>0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25.52</v>
      </c>
      <c r="AR922">
        <v>0</v>
      </c>
      <c r="AS922">
        <v>0</v>
      </c>
      <c r="AT922">
        <v>0</v>
      </c>
      <c r="AU922">
        <v>0</v>
      </c>
      <c r="AV922">
        <v>0</v>
      </c>
      <c r="AW922">
        <v>0</v>
      </c>
      <c r="AX922">
        <v>0</v>
      </c>
      <c r="AY922">
        <v>0</v>
      </c>
      <c r="AZ922">
        <v>0</v>
      </c>
      <c r="BA922">
        <v>0</v>
      </c>
      <c r="BB922">
        <v>0</v>
      </c>
      <c r="BC922">
        <v>0</v>
      </c>
      <c r="BD922">
        <v>0</v>
      </c>
      <c r="BE922">
        <v>0</v>
      </c>
      <c r="BF922">
        <v>0</v>
      </c>
      <c r="BG922">
        <v>0</v>
      </c>
      <c r="BH922">
        <v>1</v>
      </c>
      <c r="BI922">
        <v>1</v>
      </c>
      <c r="BJ922">
        <v>0.2</v>
      </c>
      <c r="BK922">
        <v>1</v>
      </c>
      <c r="BL922">
        <v>76.06</v>
      </c>
      <c r="BM922">
        <v>11.41</v>
      </c>
      <c r="BN922">
        <v>87.47</v>
      </c>
      <c r="BO922">
        <v>87.47</v>
      </c>
      <c r="BQ922" t="s">
        <v>200</v>
      </c>
      <c r="BR922" t="s">
        <v>82</v>
      </c>
      <c r="BS922" s="3">
        <v>46000</v>
      </c>
      <c r="BT922" s="4">
        <v>0.43055555555555558</v>
      </c>
      <c r="BU922" t="s">
        <v>1694</v>
      </c>
      <c r="BV922" t="s">
        <v>84</v>
      </c>
      <c r="BY922">
        <v>1200</v>
      </c>
      <c r="CC922" t="s">
        <v>101</v>
      </c>
      <c r="CD922">
        <v>4001</v>
      </c>
      <c r="CE922" t="s">
        <v>134</v>
      </c>
      <c r="CF922" s="3">
        <v>46001</v>
      </c>
      <c r="CI922">
        <v>1</v>
      </c>
      <c r="CJ922">
        <v>1</v>
      </c>
      <c r="CK922">
        <v>21</v>
      </c>
      <c r="CL922" t="s">
        <v>87</v>
      </c>
    </row>
    <row r="923" spans="1:90" x14ac:dyDescent="0.3">
      <c r="A923" t="s">
        <v>72</v>
      </c>
      <c r="B923" t="s">
        <v>73</v>
      </c>
      <c r="C923" t="s">
        <v>74</v>
      </c>
      <c r="E923" t="str">
        <f>"080069748125"</f>
        <v>080069748125</v>
      </c>
      <c r="F923" s="3">
        <v>45999</v>
      </c>
      <c r="G923">
        <v>202609</v>
      </c>
      <c r="H923" t="s">
        <v>75</v>
      </c>
      <c r="I923" t="s">
        <v>76</v>
      </c>
      <c r="J923" t="s">
        <v>77</v>
      </c>
      <c r="K923" t="s">
        <v>78</v>
      </c>
      <c r="L923" t="s">
        <v>141</v>
      </c>
      <c r="M923" t="s">
        <v>142</v>
      </c>
      <c r="N923" t="s">
        <v>143</v>
      </c>
      <c r="O923" t="s">
        <v>89</v>
      </c>
      <c r="P923" t="str">
        <f>"4170072250                    "</f>
        <v xml:space="preserve">4170072250                    </v>
      </c>
      <c r="Q923">
        <v>0</v>
      </c>
      <c r="R923">
        <v>0</v>
      </c>
      <c r="S923">
        <v>0</v>
      </c>
      <c r="T923">
        <v>0</v>
      </c>
      <c r="U923">
        <v>0</v>
      </c>
      <c r="V923">
        <v>0</v>
      </c>
      <c r="W923">
        <v>0</v>
      </c>
      <c r="X923">
        <v>0</v>
      </c>
      <c r="Y923">
        <v>0</v>
      </c>
      <c r="Z923">
        <v>0</v>
      </c>
      <c r="AA923">
        <v>0</v>
      </c>
      <c r="AB923">
        <v>0</v>
      </c>
      <c r="AC923">
        <v>0</v>
      </c>
      <c r="AD923">
        <v>0</v>
      </c>
      <c r="AE923">
        <v>0</v>
      </c>
      <c r="AF923">
        <v>0</v>
      </c>
      <c r="AG923">
        <v>0</v>
      </c>
      <c r="AH923">
        <v>0</v>
      </c>
      <c r="AI923">
        <v>0</v>
      </c>
      <c r="AJ923">
        <v>0</v>
      </c>
      <c r="AK923">
        <v>0</v>
      </c>
      <c r="AL923">
        <v>0</v>
      </c>
      <c r="AM923">
        <v>0</v>
      </c>
      <c r="AN923">
        <v>0</v>
      </c>
      <c r="AO923">
        <v>0</v>
      </c>
      <c r="AP923">
        <v>0</v>
      </c>
      <c r="AQ923">
        <v>25.52</v>
      </c>
      <c r="AR923">
        <v>0</v>
      </c>
      <c r="AS923">
        <v>0</v>
      </c>
      <c r="AT923">
        <v>0</v>
      </c>
      <c r="AU923">
        <v>0</v>
      </c>
      <c r="AV923">
        <v>0</v>
      </c>
      <c r="AW923">
        <v>0</v>
      </c>
      <c r="AX923">
        <v>0</v>
      </c>
      <c r="AY923">
        <v>0</v>
      </c>
      <c r="AZ923">
        <v>0</v>
      </c>
      <c r="BA923">
        <v>0</v>
      </c>
      <c r="BB923">
        <v>0</v>
      </c>
      <c r="BC923">
        <v>0</v>
      </c>
      <c r="BD923">
        <v>0</v>
      </c>
      <c r="BE923">
        <v>0</v>
      </c>
      <c r="BF923">
        <v>0</v>
      </c>
      <c r="BG923">
        <v>0</v>
      </c>
      <c r="BH923">
        <v>1</v>
      </c>
      <c r="BI923">
        <v>1</v>
      </c>
      <c r="BJ923">
        <v>1.9</v>
      </c>
      <c r="BK923">
        <v>2</v>
      </c>
      <c r="BL923">
        <v>76.06</v>
      </c>
      <c r="BM923">
        <v>11.41</v>
      </c>
      <c r="BN923">
        <v>87.47</v>
      </c>
      <c r="BO923">
        <v>87.47</v>
      </c>
      <c r="BQ923" t="s">
        <v>144</v>
      </c>
      <c r="BR923" t="s">
        <v>82</v>
      </c>
      <c r="BS923" s="3">
        <v>46000</v>
      </c>
      <c r="BT923" s="4">
        <v>0.40694444444444444</v>
      </c>
      <c r="BU923" t="s">
        <v>1682</v>
      </c>
      <c r="BV923" t="s">
        <v>84</v>
      </c>
      <c r="BY923">
        <v>9675</v>
      </c>
      <c r="CA923" t="s">
        <v>1228</v>
      </c>
      <c r="CC923" t="s">
        <v>142</v>
      </c>
      <c r="CD923">
        <v>6001</v>
      </c>
      <c r="CE923" t="s">
        <v>93</v>
      </c>
      <c r="CF923" s="3">
        <v>46000</v>
      </c>
      <c r="CI923">
        <v>1</v>
      </c>
      <c r="CJ923">
        <v>1</v>
      </c>
      <c r="CK923">
        <v>21</v>
      </c>
      <c r="CL923" t="s">
        <v>87</v>
      </c>
    </row>
    <row r="924" spans="1:90" x14ac:dyDescent="0.3">
      <c r="A924" t="s">
        <v>72</v>
      </c>
      <c r="B924" t="s">
        <v>73</v>
      </c>
      <c r="C924" t="s">
        <v>74</v>
      </c>
      <c r="E924" t="str">
        <f>"080069748126"</f>
        <v>080069748126</v>
      </c>
      <c r="F924" s="3">
        <v>45999</v>
      </c>
      <c r="G924">
        <v>202609</v>
      </c>
      <c r="H924" t="s">
        <v>75</v>
      </c>
      <c r="I924" t="s">
        <v>76</v>
      </c>
      <c r="J924" t="s">
        <v>77</v>
      </c>
      <c r="K924" t="s">
        <v>78</v>
      </c>
      <c r="L924" t="s">
        <v>94</v>
      </c>
      <c r="M924" t="s">
        <v>95</v>
      </c>
      <c r="N924" t="s">
        <v>936</v>
      </c>
      <c r="O924" t="s">
        <v>89</v>
      </c>
      <c r="P924" t="str">
        <f>"4170072294                    "</f>
        <v xml:space="preserve">4170072294                    </v>
      </c>
      <c r="Q924">
        <v>0</v>
      </c>
      <c r="R924">
        <v>0</v>
      </c>
      <c r="S924">
        <v>0</v>
      </c>
      <c r="T924">
        <v>0</v>
      </c>
      <c r="U924">
        <v>0</v>
      </c>
      <c r="V924">
        <v>0</v>
      </c>
      <c r="W924">
        <v>0</v>
      </c>
      <c r="X924">
        <v>0</v>
      </c>
      <c r="Y924">
        <v>0</v>
      </c>
      <c r="Z924">
        <v>0</v>
      </c>
      <c r="AA924">
        <v>0</v>
      </c>
      <c r="AB924">
        <v>0</v>
      </c>
      <c r="AC924">
        <v>0</v>
      </c>
      <c r="AD924">
        <v>0</v>
      </c>
      <c r="AE924">
        <v>0</v>
      </c>
      <c r="AF924">
        <v>0</v>
      </c>
      <c r="AG924">
        <v>0</v>
      </c>
      <c r="AH924">
        <v>0</v>
      </c>
      <c r="AI924">
        <v>0</v>
      </c>
      <c r="AJ924">
        <v>0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25.52</v>
      </c>
      <c r="AR924">
        <v>0</v>
      </c>
      <c r="AS924">
        <v>0</v>
      </c>
      <c r="AT924">
        <v>0</v>
      </c>
      <c r="AU924">
        <v>0</v>
      </c>
      <c r="AV924">
        <v>0</v>
      </c>
      <c r="AW924">
        <v>0</v>
      </c>
      <c r="AX924">
        <v>0</v>
      </c>
      <c r="AY924">
        <v>0</v>
      </c>
      <c r="AZ924">
        <v>0</v>
      </c>
      <c r="BA924">
        <v>0</v>
      </c>
      <c r="BB924">
        <v>0</v>
      </c>
      <c r="BC924">
        <v>0</v>
      </c>
      <c r="BD924">
        <v>0</v>
      </c>
      <c r="BE924">
        <v>0</v>
      </c>
      <c r="BF924">
        <v>0</v>
      </c>
      <c r="BG924">
        <v>0</v>
      </c>
      <c r="BH924">
        <v>1</v>
      </c>
      <c r="BI924">
        <v>1</v>
      </c>
      <c r="BJ924">
        <v>0.2</v>
      </c>
      <c r="BK924">
        <v>1</v>
      </c>
      <c r="BL924">
        <v>76.06</v>
      </c>
      <c r="BM924">
        <v>11.41</v>
      </c>
      <c r="BN924">
        <v>87.47</v>
      </c>
      <c r="BO924">
        <v>87.47</v>
      </c>
      <c r="BQ924" t="s">
        <v>937</v>
      </c>
      <c r="BR924" t="s">
        <v>82</v>
      </c>
      <c r="BS924" s="3">
        <v>46000</v>
      </c>
      <c r="BT924" s="4">
        <v>0.40277777777777779</v>
      </c>
      <c r="BU924" t="s">
        <v>1695</v>
      </c>
      <c r="BV924" t="s">
        <v>84</v>
      </c>
      <c r="BY924">
        <v>1200</v>
      </c>
      <c r="CA924" t="s">
        <v>929</v>
      </c>
      <c r="CC924" t="s">
        <v>95</v>
      </c>
      <c r="CD924">
        <v>3610</v>
      </c>
      <c r="CE924" t="s">
        <v>134</v>
      </c>
      <c r="CF924" s="3">
        <v>46000</v>
      </c>
      <c r="CI924">
        <v>1</v>
      </c>
      <c r="CJ924">
        <v>1</v>
      </c>
      <c r="CK924">
        <v>21</v>
      </c>
      <c r="CL924" t="s">
        <v>87</v>
      </c>
    </row>
    <row r="925" spans="1:90" x14ac:dyDescent="0.3">
      <c r="A925" t="s">
        <v>72</v>
      </c>
      <c r="B925" t="s">
        <v>73</v>
      </c>
      <c r="C925" t="s">
        <v>74</v>
      </c>
      <c r="E925" t="str">
        <f>"080069748158"</f>
        <v>080069748158</v>
      </c>
      <c r="F925" s="3">
        <v>45999</v>
      </c>
      <c r="G925">
        <v>202609</v>
      </c>
      <c r="H925" t="s">
        <v>75</v>
      </c>
      <c r="I925" t="s">
        <v>76</v>
      </c>
      <c r="J925" t="s">
        <v>77</v>
      </c>
      <c r="K925" t="s">
        <v>78</v>
      </c>
      <c r="L925" t="s">
        <v>156</v>
      </c>
      <c r="M925" t="s">
        <v>157</v>
      </c>
      <c r="N925" t="s">
        <v>964</v>
      </c>
      <c r="O925" t="s">
        <v>89</v>
      </c>
      <c r="P925" t="str">
        <f>"4170072214                    "</f>
        <v xml:space="preserve">4170072214                    </v>
      </c>
      <c r="Q925">
        <v>0</v>
      </c>
      <c r="R925">
        <v>0</v>
      </c>
      <c r="S925">
        <v>0</v>
      </c>
      <c r="T925">
        <v>0</v>
      </c>
      <c r="U925">
        <v>0</v>
      </c>
      <c r="V925">
        <v>0</v>
      </c>
      <c r="W925">
        <v>0</v>
      </c>
      <c r="X925">
        <v>0</v>
      </c>
      <c r="Y925">
        <v>0</v>
      </c>
      <c r="Z925">
        <v>0</v>
      </c>
      <c r="AA925">
        <v>0</v>
      </c>
      <c r="AB925">
        <v>0</v>
      </c>
      <c r="AC925">
        <v>0</v>
      </c>
      <c r="AD925">
        <v>0</v>
      </c>
      <c r="AE925">
        <v>0</v>
      </c>
      <c r="AF925">
        <v>0</v>
      </c>
      <c r="AG925">
        <v>0</v>
      </c>
      <c r="AH925">
        <v>0</v>
      </c>
      <c r="AI925">
        <v>0</v>
      </c>
      <c r="AJ925">
        <v>0</v>
      </c>
      <c r="AK925">
        <v>0</v>
      </c>
      <c r="AL925">
        <v>0</v>
      </c>
      <c r="AM925">
        <v>0</v>
      </c>
      <c r="AN925">
        <v>0</v>
      </c>
      <c r="AO925">
        <v>0</v>
      </c>
      <c r="AP925">
        <v>0</v>
      </c>
      <c r="AQ925">
        <v>25.52</v>
      </c>
      <c r="AR925">
        <v>0</v>
      </c>
      <c r="AS925">
        <v>0</v>
      </c>
      <c r="AT925">
        <v>0</v>
      </c>
      <c r="AU925">
        <v>0</v>
      </c>
      <c r="AV925">
        <v>0</v>
      </c>
      <c r="AW925">
        <v>0</v>
      </c>
      <c r="AX925">
        <v>0</v>
      </c>
      <c r="AY925">
        <v>0</v>
      </c>
      <c r="AZ925">
        <v>0</v>
      </c>
      <c r="BA925">
        <v>0</v>
      </c>
      <c r="BB925">
        <v>0</v>
      </c>
      <c r="BC925">
        <v>0</v>
      </c>
      <c r="BD925">
        <v>0</v>
      </c>
      <c r="BE925">
        <v>0</v>
      </c>
      <c r="BF925">
        <v>0</v>
      </c>
      <c r="BG925">
        <v>0</v>
      </c>
      <c r="BH925">
        <v>1</v>
      </c>
      <c r="BI925">
        <v>1</v>
      </c>
      <c r="BJ925">
        <v>0.2</v>
      </c>
      <c r="BK925">
        <v>1</v>
      </c>
      <c r="BL925">
        <v>76.06</v>
      </c>
      <c r="BM925">
        <v>11.41</v>
      </c>
      <c r="BN925">
        <v>87.47</v>
      </c>
      <c r="BO925">
        <v>87.47</v>
      </c>
      <c r="BQ925" t="s">
        <v>965</v>
      </c>
      <c r="BR925" t="s">
        <v>82</v>
      </c>
      <c r="BS925" s="3">
        <v>46000</v>
      </c>
      <c r="BT925" s="4">
        <v>0.4375</v>
      </c>
      <c r="BU925" t="s">
        <v>1696</v>
      </c>
      <c r="BV925" t="s">
        <v>84</v>
      </c>
      <c r="BY925">
        <v>1200</v>
      </c>
      <c r="CA925" t="s">
        <v>967</v>
      </c>
      <c r="CC925" t="s">
        <v>157</v>
      </c>
      <c r="CD925">
        <v>7500</v>
      </c>
      <c r="CE925" t="s">
        <v>134</v>
      </c>
      <c r="CF925" s="3">
        <v>46001</v>
      </c>
      <c r="CI925">
        <v>1</v>
      </c>
      <c r="CJ925">
        <v>1</v>
      </c>
      <c r="CK925">
        <v>21</v>
      </c>
      <c r="CL925" t="s">
        <v>87</v>
      </c>
    </row>
    <row r="926" spans="1:90" x14ac:dyDescent="0.3">
      <c r="A926" t="s">
        <v>72</v>
      </c>
      <c r="B926" t="s">
        <v>73</v>
      </c>
      <c r="C926" t="s">
        <v>74</v>
      </c>
      <c r="E926" t="str">
        <f>"080069748193"</f>
        <v>080069748193</v>
      </c>
      <c r="F926" s="3">
        <v>45999</v>
      </c>
      <c r="G926">
        <v>202609</v>
      </c>
      <c r="H926" t="s">
        <v>75</v>
      </c>
      <c r="I926" t="s">
        <v>76</v>
      </c>
      <c r="J926" t="s">
        <v>77</v>
      </c>
      <c r="K926" t="s">
        <v>78</v>
      </c>
      <c r="L926" t="s">
        <v>141</v>
      </c>
      <c r="M926" t="s">
        <v>142</v>
      </c>
      <c r="N926" t="s">
        <v>143</v>
      </c>
      <c r="O926" t="s">
        <v>89</v>
      </c>
      <c r="P926" t="str">
        <f>"4170072160                    "</f>
        <v xml:space="preserve">4170072160                    </v>
      </c>
      <c r="Q926">
        <v>0</v>
      </c>
      <c r="R926">
        <v>0</v>
      </c>
      <c r="S926">
        <v>0</v>
      </c>
      <c r="T926">
        <v>0</v>
      </c>
      <c r="U926">
        <v>0</v>
      </c>
      <c r="V926">
        <v>0</v>
      </c>
      <c r="W926">
        <v>0</v>
      </c>
      <c r="X926">
        <v>0</v>
      </c>
      <c r="Y926">
        <v>0</v>
      </c>
      <c r="Z926">
        <v>0</v>
      </c>
      <c r="AA926">
        <v>0</v>
      </c>
      <c r="AB926">
        <v>0</v>
      </c>
      <c r="AC926">
        <v>0</v>
      </c>
      <c r="AD926">
        <v>0</v>
      </c>
      <c r="AE926">
        <v>0</v>
      </c>
      <c r="AF926">
        <v>0</v>
      </c>
      <c r="AG926">
        <v>0</v>
      </c>
      <c r="AH926">
        <v>0</v>
      </c>
      <c r="AI926">
        <v>0</v>
      </c>
      <c r="AJ926">
        <v>0</v>
      </c>
      <c r="AK926">
        <v>0</v>
      </c>
      <c r="AL926">
        <v>0</v>
      </c>
      <c r="AM926">
        <v>0</v>
      </c>
      <c r="AN926">
        <v>0</v>
      </c>
      <c r="AO926">
        <v>0</v>
      </c>
      <c r="AP926">
        <v>0</v>
      </c>
      <c r="AQ926">
        <v>25.52</v>
      </c>
      <c r="AR926">
        <v>0</v>
      </c>
      <c r="AS926">
        <v>0</v>
      </c>
      <c r="AT926">
        <v>0</v>
      </c>
      <c r="AU926">
        <v>0</v>
      </c>
      <c r="AV926">
        <v>0</v>
      </c>
      <c r="AW926">
        <v>0</v>
      </c>
      <c r="AX926">
        <v>0</v>
      </c>
      <c r="AY926">
        <v>0</v>
      </c>
      <c r="AZ926">
        <v>0</v>
      </c>
      <c r="BA926">
        <v>0</v>
      </c>
      <c r="BB926">
        <v>0</v>
      </c>
      <c r="BC926">
        <v>0</v>
      </c>
      <c r="BD926">
        <v>0</v>
      </c>
      <c r="BE926">
        <v>0</v>
      </c>
      <c r="BF926">
        <v>0</v>
      </c>
      <c r="BG926">
        <v>0</v>
      </c>
      <c r="BH926">
        <v>1</v>
      </c>
      <c r="BI926">
        <v>1</v>
      </c>
      <c r="BJ926">
        <v>0.2</v>
      </c>
      <c r="BK926">
        <v>1</v>
      </c>
      <c r="BL926">
        <v>76.06</v>
      </c>
      <c r="BM926">
        <v>11.41</v>
      </c>
      <c r="BN926">
        <v>87.47</v>
      </c>
      <c r="BO926">
        <v>87.47</v>
      </c>
      <c r="BQ926" t="s">
        <v>144</v>
      </c>
      <c r="BR926" t="s">
        <v>82</v>
      </c>
      <c r="BS926" s="3">
        <v>46000</v>
      </c>
      <c r="BT926" s="4">
        <v>0.40625</v>
      </c>
      <c r="BU926" t="s">
        <v>1682</v>
      </c>
      <c r="BV926" t="s">
        <v>84</v>
      </c>
      <c r="BY926">
        <v>1200</v>
      </c>
      <c r="CA926" t="s">
        <v>1228</v>
      </c>
      <c r="CC926" t="s">
        <v>142</v>
      </c>
      <c r="CD926">
        <v>6001</v>
      </c>
      <c r="CE926" t="s">
        <v>134</v>
      </c>
      <c r="CF926" s="3">
        <v>46000</v>
      </c>
      <c r="CI926">
        <v>1</v>
      </c>
      <c r="CJ926">
        <v>1</v>
      </c>
      <c r="CK926">
        <v>21</v>
      </c>
      <c r="CL926" t="s">
        <v>87</v>
      </c>
    </row>
    <row r="927" spans="1:90" x14ac:dyDescent="0.3">
      <c r="A927" t="s">
        <v>72</v>
      </c>
      <c r="B927" t="s">
        <v>73</v>
      </c>
      <c r="C927" t="s">
        <v>74</v>
      </c>
      <c r="E927" t="str">
        <f>"080069748196"</f>
        <v>080069748196</v>
      </c>
      <c r="F927" s="3">
        <v>45999</v>
      </c>
      <c r="G927">
        <v>202609</v>
      </c>
      <c r="H927" t="s">
        <v>75</v>
      </c>
      <c r="I927" t="s">
        <v>76</v>
      </c>
      <c r="J927" t="s">
        <v>77</v>
      </c>
      <c r="K927" t="s">
        <v>78</v>
      </c>
      <c r="L927" t="s">
        <v>156</v>
      </c>
      <c r="M927" t="s">
        <v>157</v>
      </c>
      <c r="N927" t="s">
        <v>158</v>
      </c>
      <c r="O927" t="s">
        <v>89</v>
      </c>
      <c r="P927" t="str">
        <f>"4170072136                    "</f>
        <v xml:space="preserve">4170072136                    </v>
      </c>
      <c r="Q927">
        <v>0</v>
      </c>
      <c r="R927">
        <v>0</v>
      </c>
      <c r="S927">
        <v>0</v>
      </c>
      <c r="T927">
        <v>0</v>
      </c>
      <c r="U927">
        <v>0</v>
      </c>
      <c r="V927">
        <v>0</v>
      </c>
      <c r="W927">
        <v>0</v>
      </c>
      <c r="X927">
        <v>0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>
        <v>0</v>
      </c>
      <c r="AG927">
        <v>0</v>
      </c>
      <c r="AH927">
        <v>0</v>
      </c>
      <c r="AI927">
        <v>0</v>
      </c>
      <c r="AJ927">
        <v>0</v>
      </c>
      <c r="AK927">
        <v>0</v>
      </c>
      <c r="AL927">
        <v>0</v>
      </c>
      <c r="AM927">
        <v>0</v>
      </c>
      <c r="AN927">
        <v>0</v>
      </c>
      <c r="AO927">
        <v>0</v>
      </c>
      <c r="AP927">
        <v>0</v>
      </c>
      <c r="AQ927">
        <v>57.41</v>
      </c>
      <c r="AR927">
        <v>0</v>
      </c>
      <c r="AS927">
        <v>0</v>
      </c>
      <c r="AT927">
        <v>0</v>
      </c>
      <c r="AU927">
        <v>0</v>
      </c>
      <c r="AV927">
        <v>0</v>
      </c>
      <c r="AW927">
        <v>0</v>
      </c>
      <c r="AX927">
        <v>0</v>
      </c>
      <c r="AY927">
        <v>0</v>
      </c>
      <c r="AZ927">
        <v>0</v>
      </c>
      <c r="BA927">
        <v>0</v>
      </c>
      <c r="BB927">
        <v>0</v>
      </c>
      <c r="BC927">
        <v>0</v>
      </c>
      <c r="BD927">
        <v>0</v>
      </c>
      <c r="BE927">
        <v>0</v>
      </c>
      <c r="BF927">
        <v>0</v>
      </c>
      <c r="BG927">
        <v>0</v>
      </c>
      <c r="BH927">
        <v>1</v>
      </c>
      <c r="BI927">
        <v>3</v>
      </c>
      <c r="BJ927">
        <v>4.3</v>
      </c>
      <c r="BK927">
        <v>4.5</v>
      </c>
      <c r="BL927">
        <v>171.1</v>
      </c>
      <c r="BM927">
        <v>25.67</v>
      </c>
      <c r="BN927">
        <v>196.77</v>
      </c>
      <c r="BO927">
        <v>196.77</v>
      </c>
      <c r="BQ927" t="s">
        <v>159</v>
      </c>
      <c r="BR927" t="s">
        <v>82</v>
      </c>
      <c r="BS927" s="3">
        <v>46000</v>
      </c>
      <c r="BT927" s="4">
        <v>0.41944444444444445</v>
      </c>
      <c r="BU927" t="s">
        <v>1697</v>
      </c>
      <c r="BV927" t="s">
        <v>84</v>
      </c>
      <c r="BY927">
        <v>21489</v>
      </c>
      <c r="CA927" t="s">
        <v>1217</v>
      </c>
      <c r="CC927" t="s">
        <v>157</v>
      </c>
      <c r="CD927">
        <v>7530</v>
      </c>
      <c r="CE927" t="s">
        <v>86</v>
      </c>
      <c r="CF927" s="3">
        <v>46001</v>
      </c>
      <c r="CI927">
        <v>1</v>
      </c>
      <c r="CJ927">
        <v>1</v>
      </c>
      <c r="CK927">
        <v>21</v>
      </c>
      <c r="CL927" t="s">
        <v>87</v>
      </c>
    </row>
    <row r="928" spans="1:90" x14ac:dyDescent="0.3">
      <c r="A928" t="s">
        <v>72</v>
      </c>
      <c r="B928" t="s">
        <v>73</v>
      </c>
      <c r="C928" t="s">
        <v>74</v>
      </c>
      <c r="E928" t="str">
        <f>"080069748481"</f>
        <v>080069748481</v>
      </c>
      <c r="F928" s="3">
        <v>45999</v>
      </c>
      <c r="G928">
        <v>202609</v>
      </c>
      <c r="H928" t="s">
        <v>75</v>
      </c>
      <c r="I928" t="s">
        <v>76</v>
      </c>
      <c r="J928" t="s">
        <v>77</v>
      </c>
      <c r="K928" t="s">
        <v>78</v>
      </c>
      <c r="L928" t="s">
        <v>94</v>
      </c>
      <c r="M928" t="s">
        <v>95</v>
      </c>
      <c r="N928" t="s">
        <v>1188</v>
      </c>
      <c r="O928" t="s">
        <v>89</v>
      </c>
      <c r="P928" t="str">
        <f>"4170072255                    "</f>
        <v xml:space="preserve">4170072255                    </v>
      </c>
      <c r="Q928">
        <v>0</v>
      </c>
      <c r="R928">
        <v>0</v>
      </c>
      <c r="S928">
        <v>0</v>
      </c>
      <c r="T928">
        <v>0</v>
      </c>
      <c r="U928">
        <v>0</v>
      </c>
      <c r="V928">
        <v>0</v>
      </c>
      <c r="W928">
        <v>0</v>
      </c>
      <c r="X928">
        <v>0</v>
      </c>
      <c r="Y928">
        <v>0</v>
      </c>
      <c r="Z928">
        <v>0</v>
      </c>
      <c r="AA928">
        <v>0</v>
      </c>
      <c r="AB928">
        <v>0</v>
      </c>
      <c r="AC928">
        <v>0</v>
      </c>
      <c r="AD928">
        <v>0</v>
      </c>
      <c r="AE928">
        <v>0</v>
      </c>
      <c r="AF928">
        <v>0</v>
      </c>
      <c r="AG928">
        <v>0</v>
      </c>
      <c r="AH928">
        <v>0</v>
      </c>
      <c r="AI928">
        <v>0</v>
      </c>
      <c r="AJ928">
        <v>0</v>
      </c>
      <c r="AK928">
        <v>0</v>
      </c>
      <c r="AL928">
        <v>0</v>
      </c>
      <c r="AM928">
        <v>0</v>
      </c>
      <c r="AN928">
        <v>0</v>
      </c>
      <c r="AO928">
        <v>0</v>
      </c>
      <c r="AP928">
        <v>0</v>
      </c>
      <c r="AQ928">
        <v>25.52</v>
      </c>
      <c r="AR928">
        <v>0</v>
      </c>
      <c r="AS928">
        <v>0</v>
      </c>
      <c r="AT928">
        <v>0</v>
      </c>
      <c r="AU928">
        <v>0</v>
      </c>
      <c r="AV928">
        <v>0</v>
      </c>
      <c r="AW928">
        <v>0</v>
      </c>
      <c r="AX928">
        <v>0</v>
      </c>
      <c r="AY928">
        <v>0</v>
      </c>
      <c r="AZ928">
        <v>0</v>
      </c>
      <c r="BA928">
        <v>0</v>
      </c>
      <c r="BB928">
        <v>0</v>
      </c>
      <c r="BC928">
        <v>0</v>
      </c>
      <c r="BD928">
        <v>0</v>
      </c>
      <c r="BE928">
        <v>0</v>
      </c>
      <c r="BF928">
        <v>0</v>
      </c>
      <c r="BG928">
        <v>0</v>
      </c>
      <c r="BH928">
        <v>1</v>
      </c>
      <c r="BI928">
        <v>1</v>
      </c>
      <c r="BJ928">
        <v>0.2</v>
      </c>
      <c r="BK928">
        <v>1</v>
      </c>
      <c r="BL928">
        <v>76.06</v>
      </c>
      <c r="BM928">
        <v>11.41</v>
      </c>
      <c r="BN928">
        <v>87.47</v>
      </c>
      <c r="BO928">
        <v>87.47</v>
      </c>
      <c r="BQ928" t="s">
        <v>1189</v>
      </c>
      <c r="BR928" t="s">
        <v>82</v>
      </c>
      <c r="BS928" s="3">
        <v>46000</v>
      </c>
      <c r="BT928" s="4">
        <v>0.38333333333333336</v>
      </c>
      <c r="BU928" t="s">
        <v>1698</v>
      </c>
      <c r="BV928" t="s">
        <v>84</v>
      </c>
      <c r="BY928">
        <v>1200</v>
      </c>
      <c r="CA928" t="s">
        <v>929</v>
      </c>
      <c r="CC928" t="s">
        <v>95</v>
      </c>
      <c r="CD928">
        <v>3610</v>
      </c>
      <c r="CE928" t="s">
        <v>134</v>
      </c>
      <c r="CF928" s="3">
        <v>46000</v>
      </c>
      <c r="CI928">
        <v>1</v>
      </c>
      <c r="CJ928">
        <v>1</v>
      </c>
      <c r="CK928">
        <v>21</v>
      </c>
      <c r="CL928" t="s">
        <v>87</v>
      </c>
    </row>
    <row r="929" spans="1:90" x14ac:dyDescent="0.3">
      <c r="A929" t="s">
        <v>72</v>
      </c>
      <c r="B929" t="s">
        <v>73</v>
      </c>
      <c r="C929" t="s">
        <v>74</v>
      </c>
      <c r="E929" t="str">
        <f>"080069748520"</f>
        <v>080069748520</v>
      </c>
      <c r="F929" s="3">
        <v>45999</v>
      </c>
      <c r="G929">
        <v>202609</v>
      </c>
      <c r="H929" t="s">
        <v>75</v>
      </c>
      <c r="I929" t="s">
        <v>76</v>
      </c>
      <c r="J929" t="s">
        <v>77</v>
      </c>
      <c r="K929" t="s">
        <v>78</v>
      </c>
      <c r="L929" t="s">
        <v>189</v>
      </c>
      <c r="M929" t="s">
        <v>190</v>
      </c>
      <c r="N929" t="s">
        <v>1053</v>
      </c>
      <c r="O929" t="s">
        <v>89</v>
      </c>
      <c r="P929" t="str">
        <f>"4170072210                    "</f>
        <v xml:space="preserve">4170072210                    </v>
      </c>
      <c r="Q929">
        <v>0</v>
      </c>
      <c r="R929">
        <v>0</v>
      </c>
      <c r="S929">
        <v>0</v>
      </c>
      <c r="T929">
        <v>0</v>
      </c>
      <c r="U929">
        <v>0</v>
      </c>
      <c r="V929">
        <v>0</v>
      </c>
      <c r="W929">
        <v>0</v>
      </c>
      <c r="X929">
        <v>0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0</v>
      </c>
      <c r="AE929">
        <v>0</v>
      </c>
      <c r="AF929">
        <v>0</v>
      </c>
      <c r="AG929">
        <v>0</v>
      </c>
      <c r="AH929">
        <v>0</v>
      </c>
      <c r="AI929">
        <v>0</v>
      </c>
      <c r="AJ929">
        <v>0</v>
      </c>
      <c r="AK929">
        <v>0</v>
      </c>
      <c r="AL929">
        <v>0</v>
      </c>
      <c r="AM929">
        <v>0</v>
      </c>
      <c r="AN929">
        <v>0</v>
      </c>
      <c r="AO929">
        <v>0</v>
      </c>
      <c r="AP929">
        <v>0</v>
      </c>
      <c r="AQ929">
        <v>25.52</v>
      </c>
      <c r="AR929">
        <v>0</v>
      </c>
      <c r="AS929">
        <v>0</v>
      </c>
      <c r="AT929">
        <v>0</v>
      </c>
      <c r="AU929">
        <v>0</v>
      </c>
      <c r="AV929">
        <v>0</v>
      </c>
      <c r="AW929">
        <v>0</v>
      </c>
      <c r="AX929">
        <v>0</v>
      </c>
      <c r="AY929">
        <v>0</v>
      </c>
      <c r="AZ929">
        <v>0</v>
      </c>
      <c r="BA929">
        <v>0</v>
      </c>
      <c r="BB929">
        <v>0</v>
      </c>
      <c r="BC929">
        <v>0</v>
      </c>
      <c r="BD929">
        <v>0</v>
      </c>
      <c r="BE929">
        <v>0</v>
      </c>
      <c r="BF929">
        <v>0</v>
      </c>
      <c r="BG929">
        <v>0</v>
      </c>
      <c r="BH929">
        <v>1</v>
      </c>
      <c r="BI929">
        <v>1</v>
      </c>
      <c r="BJ929">
        <v>1.1000000000000001</v>
      </c>
      <c r="BK929">
        <v>1.5</v>
      </c>
      <c r="BL929">
        <v>76.06</v>
      </c>
      <c r="BM929">
        <v>11.41</v>
      </c>
      <c r="BN929">
        <v>87.47</v>
      </c>
      <c r="BO929">
        <v>87.47</v>
      </c>
      <c r="BQ929" t="s">
        <v>1054</v>
      </c>
      <c r="BR929" t="s">
        <v>82</v>
      </c>
      <c r="BS929" s="3">
        <v>46001</v>
      </c>
      <c r="BT929" s="4">
        <v>0.48333333333333334</v>
      </c>
      <c r="BU929" t="s">
        <v>1699</v>
      </c>
      <c r="BV929" t="s">
        <v>87</v>
      </c>
      <c r="BY929">
        <v>5510</v>
      </c>
      <c r="CA929" t="s">
        <v>1474</v>
      </c>
      <c r="CC929" t="s">
        <v>190</v>
      </c>
      <c r="CD929">
        <v>3201</v>
      </c>
      <c r="CE929" t="s">
        <v>1700</v>
      </c>
      <c r="CF929" s="3">
        <v>46002</v>
      </c>
      <c r="CI929">
        <v>1</v>
      </c>
      <c r="CJ929">
        <v>2</v>
      </c>
      <c r="CK929">
        <v>21</v>
      </c>
      <c r="CL929" t="s">
        <v>87</v>
      </c>
    </row>
    <row r="930" spans="1:90" x14ac:dyDescent="0.3">
      <c r="A930" t="s">
        <v>72</v>
      </c>
      <c r="B930" t="s">
        <v>73</v>
      </c>
      <c r="C930" t="s">
        <v>74</v>
      </c>
      <c r="E930" t="str">
        <f>"080069748531"</f>
        <v>080069748531</v>
      </c>
      <c r="F930" s="3">
        <v>45999</v>
      </c>
      <c r="G930">
        <v>202609</v>
      </c>
      <c r="H930" t="s">
        <v>75</v>
      </c>
      <c r="I930" t="s">
        <v>76</v>
      </c>
      <c r="J930" t="s">
        <v>77</v>
      </c>
      <c r="K930" t="s">
        <v>78</v>
      </c>
      <c r="L930" t="s">
        <v>156</v>
      </c>
      <c r="M930" t="s">
        <v>157</v>
      </c>
      <c r="N930" t="s">
        <v>434</v>
      </c>
      <c r="O930" t="s">
        <v>89</v>
      </c>
      <c r="P930" t="str">
        <f>"4170072277                    "</f>
        <v xml:space="preserve">4170072277                    </v>
      </c>
      <c r="Q930">
        <v>0</v>
      </c>
      <c r="R930">
        <v>0</v>
      </c>
      <c r="S930">
        <v>0</v>
      </c>
      <c r="T930">
        <v>0</v>
      </c>
      <c r="U930">
        <v>0</v>
      </c>
      <c r="V930">
        <v>0</v>
      </c>
      <c r="W930">
        <v>0</v>
      </c>
      <c r="X930">
        <v>0</v>
      </c>
      <c r="Y930">
        <v>0</v>
      </c>
      <c r="Z930">
        <v>0</v>
      </c>
      <c r="AA930">
        <v>0</v>
      </c>
      <c r="AB930">
        <v>0</v>
      </c>
      <c r="AC930">
        <v>0</v>
      </c>
      <c r="AD930">
        <v>0</v>
      </c>
      <c r="AE930">
        <v>0</v>
      </c>
      <c r="AF930">
        <v>0</v>
      </c>
      <c r="AG930">
        <v>0</v>
      </c>
      <c r="AH930">
        <v>0</v>
      </c>
      <c r="AI930">
        <v>0</v>
      </c>
      <c r="AJ930">
        <v>0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25.52</v>
      </c>
      <c r="AR930">
        <v>0</v>
      </c>
      <c r="AS930">
        <v>0</v>
      </c>
      <c r="AT930">
        <v>0</v>
      </c>
      <c r="AU930">
        <v>0</v>
      </c>
      <c r="AV930">
        <v>0</v>
      </c>
      <c r="AW930">
        <v>0</v>
      </c>
      <c r="AX930">
        <v>0</v>
      </c>
      <c r="AY930">
        <v>0</v>
      </c>
      <c r="AZ930">
        <v>0</v>
      </c>
      <c r="BA930">
        <v>0</v>
      </c>
      <c r="BB930">
        <v>0</v>
      </c>
      <c r="BC930">
        <v>0</v>
      </c>
      <c r="BD930">
        <v>0</v>
      </c>
      <c r="BE930">
        <v>0</v>
      </c>
      <c r="BF930">
        <v>0</v>
      </c>
      <c r="BG930">
        <v>0</v>
      </c>
      <c r="BH930">
        <v>1</v>
      </c>
      <c r="BI930">
        <v>1</v>
      </c>
      <c r="BJ930">
        <v>0.2</v>
      </c>
      <c r="BK930">
        <v>1</v>
      </c>
      <c r="BL930">
        <v>76.06</v>
      </c>
      <c r="BM930">
        <v>11.41</v>
      </c>
      <c r="BN930">
        <v>87.47</v>
      </c>
      <c r="BO930">
        <v>87.47</v>
      </c>
      <c r="BQ930" t="s">
        <v>435</v>
      </c>
      <c r="BR930" t="s">
        <v>82</v>
      </c>
      <c r="BS930" s="3">
        <v>46000</v>
      </c>
      <c r="BT930" s="4">
        <v>0.39097222222222222</v>
      </c>
      <c r="BU930" t="s">
        <v>1577</v>
      </c>
      <c r="BV930" t="s">
        <v>84</v>
      </c>
      <c r="BY930">
        <v>1200</v>
      </c>
      <c r="CA930" t="s">
        <v>264</v>
      </c>
      <c r="CC930" t="s">
        <v>157</v>
      </c>
      <c r="CD930">
        <v>7441</v>
      </c>
      <c r="CE930" t="s">
        <v>134</v>
      </c>
      <c r="CF930" s="3">
        <v>46001</v>
      </c>
      <c r="CI930">
        <v>1</v>
      </c>
      <c r="CJ930">
        <v>1</v>
      </c>
      <c r="CK930">
        <v>21</v>
      </c>
      <c r="CL930" t="s">
        <v>87</v>
      </c>
    </row>
    <row r="931" spans="1:90" x14ac:dyDescent="0.3">
      <c r="A931" t="s">
        <v>72</v>
      </c>
      <c r="B931" t="s">
        <v>73</v>
      </c>
      <c r="C931" t="s">
        <v>74</v>
      </c>
      <c r="E931" t="str">
        <f>"080069748591"</f>
        <v>080069748591</v>
      </c>
      <c r="F931" s="3">
        <v>45999</v>
      </c>
      <c r="G931">
        <v>202609</v>
      </c>
      <c r="H931" t="s">
        <v>75</v>
      </c>
      <c r="I931" t="s">
        <v>76</v>
      </c>
      <c r="J931" t="s">
        <v>77</v>
      </c>
      <c r="K931" t="s">
        <v>78</v>
      </c>
      <c r="L931" t="s">
        <v>176</v>
      </c>
      <c r="M931" t="s">
        <v>177</v>
      </c>
      <c r="N931" t="s">
        <v>1701</v>
      </c>
      <c r="O931" t="s">
        <v>89</v>
      </c>
      <c r="P931" t="str">
        <f>"4170072258                    "</f>
        <v xml:space="preserve">4170072258                    </v>
      </c>
      <c r="Q931">
        <v>0</v>
      </c>
      <c r="R931">
        <v>0</v>
      </c>
      <c r="S931">
        <v>0</v>
      </c>
      <c r="T931">
        <v>0</v>
      </c>
      <c r="U931">
        <v>0</v>
      </c>
      <c r="V931">
        <v>0</v>
      </c>
      <c r="W931">
        <v>0</v>
      </c>
      <c r="X931">
        <v>0</v>
      </c>
      <c r="Y931">
        <v>0</v>
      </c>
      <c r="Z931">
        <v>0</v>
      </c>
      <c r="AA931">
        <v>0</v>
      </c>
      <c r="AB931">
        <v>0</v>
      </c>
      <c r="AC931">
        <v>0</v>
      </c>
      <c r="AD931">
        <v>0</v>
      </c>
      <c r="AE931">
        <v>0</v>
      </c>
      <c r="AF931">
        <v>0</v>
      </c>
      <c r="AG931">
        <v>0</v>
      </c>
      <c r="AH931">
        <v>0</v>
      </c>
      <c r="AI931">
        <v>0</v>
      </c>
      <c r="AJ931">
        <v>0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19.940000000000001</v>
      </c>
      <c r="AR931">
        <v>0</v>
      </c>
      <c r="AS931">
        <v>0</v>
      </c>
      <c r="AT931">
        <v>0</v>
      </c>
      <c r="AU931">
        <v>0</v>
      </c>
      <c r="AV931">
        <v>0</v>
      </c>
      <c r="AW931">
        <v>0</v>
      </c>
      <c r="AX931">
        <v>0</v>
      </c>
      <c r="AY931">
        <v>0</v>
      </c>
      <c r="AZ931">
        <v>0</v>
      </c>
      <c r="BA931">
        <v>0</v>
      </c>
      <c r="BB931">
        <v>0</v>
      </c>
      <c r="BC931">
        <v>0</v>
      </c>
      <c r="BD931">
        <v>0</v>
      </c>
      <c r="BE931">
        <v>0</v>
      </c>
      <c r="BF931">
        <v>0</v>
      </c>
      <c r="BG931">
        <v>0</v>
      </c>
      <c r="BH931">
        <v>1</v>
      </c>
      <c r="BI931">
        <v>1</v>
      </c>
      <c r="BJ931">
        <v>0.2</v>
      </c>
      <c r="BK931">
        <v>1</v>
      </c>
      <c r="BL931">
        <v>59.42</v>
      </c>
      <c r="BM931">
        <v>8.91</v>
      </c>
      <c r="BN931">
        <v>68.33</v>
      </c>
      <c r="BO931">
        <v>68.33</v>
      </c>
      <c r="BQ931" t="s">
        <v>1702</v>
      </c>
      <c r="BR931" t="s">
        <v>82</v>
      </c>
      <c r="BS931" s="3">
        <v>46000</v>
      </c>
      <c r="BT931" s="4">
        <v>0.41319444444444442</v>
      </c>
      <c r="BU931" t="s">
        <v>1703</v>
      </c>
      <c r="BV931" t="s">
        <v>84</v>
      </c>
      <c r="BY931">
        <v>1200</v>
      </c>
      <c r="CA931" t="s">
        <v>457</v>
      </c>
      <c r="CC931" t="s">
        <v>177</v>
      </c>
      <c r="CD931">
        <v>2091</v>
      </c>
      <c r="CE931" t="s">
        <v>134</v>
      </c>
      <c r="CF931" s="3">
        <v>46000</v>
      </c>
      <c r="CI931">
        <v>1</v>
      </c>
      <c r="CJ931">
        <v>1</v>
      </c>
      <c r="CK931">
        <v>22</v>
      </c>
      <c r="CL931" t="s">
        <v>87</v>
      </c>
    </row>
    <row r="932" spans="1:90" x14ac:dyDescent="0.3">
      <c r="A932" t="s">
        <v>72</v>
      </c>
      <c r="B932" t="s">
        <v>73</v>
      </c>
      <c r="C932" t="s">
        <v>74</v>
      </c>
      <c r="E932" t="str">
        <f>"080069748600"</f>
        <v>080069748600</v>
      </c>
      <c r="F932" s="3">
        <v>45999</v>
      </c>
      <c r="G932">
        <v>202609</v>
      </c>
      <c r="H932" t="s">
        <v>75</v>
      </c>
      <c r="I932" t="s">
        <v>76</v>
      </c>
      <c r="J932" t="s">
        <v>77</v>
      </c>
      <c r="K932" t="s">
        <v>78</v>
      </c>
      <c r="L932" t="s">
        <v>302</v>
      </c>
      <c r="M932" t="s">
        <v>303</v>
      </c>
      <c r="N932" t="s">
        <v>130</v>
      </c>
      <c r="O932" t="s">
        <v>89</v>
      </c>
      <c r="P932" t="str">
        <f>"4170072084                    "</f>
        <v xml:space="preserve">4170072084                    </v>
      </c>
      <c r="Q932">
        <v>0</v>
      </c>
      <c r="R932">
        <v>0</v>
      </c>
      <c r="S932">
        <v>0</v>
      </c>
      <c r="T932">
        <v>0</v>
      </c>
      <c r="U932">
        <v>0</v>
      </c>
      <c r="V932">
        <v>0</v>
      </c>
      <c r="W932">
        <v>0</v>
      </c>
      <c r="X932">
        <v>0</v>
      </c>
      <c r="Y932">
        <v>0</v>
      </c>
      <c r="Z932">
        <v>0</v>
      </c>
      <c r="AA932">
        <v>0</v>
      </c>
      <c r="AB932">
        <v>0</v>
      </c>
      <c r="AC932">
        <v>0</v>
      </c>
      <c r="AD932">
        <v>0</v>
      </c>
      <c r="AE932">
        <v>0</v>
      </c>
      <c r="AF932">
        <v>0</v>
      </c>
      <c r="AG932">
        <v>0</v>
      </c>
      <c r="AH932">
        <v>0</v>
      </c>
      <c r="AI932">
        <v>0</v>
      </c>
      <c r="AJ932">
        <v>0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25.52</v>
      </c>
      <c r="AR932">
        <v>0</v>
      </c>
      <c r="AS932">
        <v>0</v>
      </c>
      <c r="AT932">
        <v>0</v>
      </c>
      <c r="AU932">
        <v>0</v>
      </c>
      <c r="AV932">
        <v>0</v>
      </c>
      <c r="AW932">
        <v>0</v>
      </c>
      <c r="AX932">
        <v>0</v>
      </c>
      <c r="AY932">
        <v>0</v>
      </c>
      <c r="AZ932">
        <v>0</v>
      </c>
      <c r="BA932">
        <v>0</v>
      </c>
      <c r="BB932">
        <v>0</v>
      </c>
      <c r="BC932">
        <v>0</v>
      </c>
      <c r="BD932">
        <v>0</v>
      </c>
      <c r="BE932">
        <v>0</v>
      </c>
      <c r="BF932">
        <v>0</v>
      </c>
      <c r="BG932">
        <v>0</v>
      </c>
      <c r="BH932">
        <v>1</v>
      </c>
      <c r="BI932">
        <v>1</v>
      </c>
      <c r="BJ932">
        <v>1.4</v>
      </c>
      <c r="BK932">
        <v>1.5</v>
      </c>
      <c r="BL932">
        <v>76.06</v>
      </c>
      <c r="BM932">
        <v>11.41</v>
      </c>
      <c r="BN932">
        <v>87.47</v>
      </c>
      <c r="BO932">
        <v>87.47</v>
      </c>
      <c r="BQ932" t="s">
        <v>131</v>
      </c>
      <c r="BR932" t="s">
        <v>82</v>
      </c>
      <c r="BS932" s="3">
        <v>46000</v>
      </c>
      <c r="BT932" s="4">
        <v>0.42222222222222222</v>
      </c>
      <c r="BU932" t="s">
        <v>1704</v>
      </c>
      <c r="BV932" t="s">
        <v>84</v>
      </c>
      <c r="BY932">
        <v>7000</v>
      </c>
      <c r="CA932">
        <v>8303236124087</v>
      </c>
      <c r="CC932" t="s">
        <v>303</v>
      </c>
      <c r="CD932" s="5" t="s">
        <v>307</v>
      </c>
      <c r="CE932" t="s">
        <v>86</v>
      </c>
      <c r="CF932" s="3">
        <v>46000</v>
      </c>
      <c r="CI932">
        <v>1</v>
      </c>
      <c r="CJ932">
        <v>1</v>
      </c>
      <c r="CK932">
        <v>21</v>
      </c>
      <c r="CL932" t="s">
        <v>87</v>
      </c>
    </row>
    <row r="933" spans="1:90" x14ac:dyDescent="0.3">
      <c r="A933" t="s">
        <v>72</v>
      </c>
      <c r="B933" t="s">
        <v>73</v>
      </c>
      <c r="C933" t="s">
        <v>74</v>
      </c>
      <c r="E933" t="str">
        <f>"080069748620"</f>
        <v>080069748620</v>
      </c>
      <c r="F933" s="3">
        <v>45999</v>
      </c>
      <c r="G933">
        <v>202609</v>
      </c>
      <c r="H933" t="s">
        <v>75</v>
      </c>
      <c r="I933" t="s">
        <v>76</v>
      </c>
      <c r="J933" t="s">
        <v>77</v>
      </c>
      <c r="K933" t="s">
        <v>78</v>
      </c>
      <c r="L933" t="s">
        <v>141</v>
      </c>
      <c r="M933" t="s">
        <v>142</v>
      </c>
      <c r="N933" t="s">
        <v>214</v>
      </c>
      <c r="O933" t="s">
        <v>89</v>
      </c>
      <c r="P933" t="str">
        <f>"4170072270                    "</f>
        <v xml:space="preserve">4170072270                    </v>
      </c>
      <c r="Q933">
        <v>0</v>
      </c>
      <c r="R933">
        <v>0</v>
      </c>
      <c r="S933">
        <v>0</v>
      </c>
      <c r="T933">
        <v>0</v>
      </c>
      <c r="U933">
        <v>0</v>
      </c>
      <c r="V933">
        <v>0</v>
      </c>
      <c r="W933">
        <v>0</v>
      </c>
      <c r="X933">
        <v>0</v>
      </c>
      <c r="Y933">
        <v>0</v>
      </c>
      <c r="Z933">
        <v>0</v>
      </c>
      <c r="AA933">
        <v>0</v>
      </c>
      <c r="AB933">
        <v>0</v>
      </c>
      <c r="AC933">
        <v>0</v>
      </c>
      <c r="AD933">
        <v>0</v>
      </c>
      <c r="AE933">
        <v>0</v>
      </c>
      <c r="AF933">
        <v>0</v>
      </c>
      <c r="AG933">
        <v>0</v>
      </c>
      <c r="AH933">
        <v>0</v>
      </c>
      <c r="AI933">
        <v>0</v>
      </c>
      <c r="AJ933">
        <v>0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25.52</v>
      </c>
      <c r="AR933">
        <v>0</v>
      </c>
      <c r="AS933">
        <v>0</v>
      </c>
      <c r="AT933">
        <v>0</v>
      </c>
      <c r="AU933">
        <v>0</v>
      </c>
      <c r="AV933">
        <v>0</v>
      </c>
      <c r="AW933">
        <v>0</v>
      </c>
      <c r="AX933">
        <v>0</v>
      </c>
      <c r="AY933">
        <v>0</v>
      </c>
      <c r="AZ933">
        <v>0</v>
      </c>
      <c r="BA933">
        <v>0</v>
      </c>
      <c r="BB933">
        <v>0</v>
      </c>
      <c r="BC933">
        <v>0</v>
      </c>
      <c r="BD933">
        <v>0</v>
      </c>
      <c r="BE933">
        <v>0</v>
      </c>
      <c r="BF933">
        <v>0</v>
      </c>
      <c r="BG933">
        <v>0</v>
      </c>
      <c r="BH933">
        <v>1</v>
      </c>
      <c r="BI933">
        <v>1</v>
      </c>
      <c r="BJ933">
        <v>0.2</v>
      </c>
      <c r="BK933">
        <v>1</v>
      </c>
      <c r="BL933">
        <v>76.06</v>
      </c>
      <c r="BM933">
        <v>11.41</v>
      </c>
      <c r="BN933">
        <v>87.47</v>
      </c>
      <c r="BO933">
        <v>87.47</v>
      </c>
      <c r="BQ933" t="s">
        <v>215</v>
      </c>
      <c r="BR933" t="s">
        <v>82</v>
      </c>
      <c r="BS933" s="3">
        <v>46000</v>
      </c>
      <c r="BT933" s="4">
        <v>0.37222222222222223</v>
      </c>
      <c r="BU933" t="s">
        <v>1660</v>
      </c>
      <c r="BV933" t="s">
        <v>84</v>
      </c>
      <c r="BY933">
        <v>1200</v>
      </c>
      <c r="CA933" t="s">
        <v>489</v>
      </c>
      <c r="CC933" t="s">
        <v>142</v>
      </c>
      <c r="CD933">
        <v>6001</v>
      </c>
      <c r="CE933" t="s">
        <v>134</v>
      </c>
      <c r="CF933" s="3">
        <v>46000</v>
      </c>
      <c r="CI933">
        <v>1</v>
      </c>
      <c r="CJ933">
        <v>1</v>
      </c>
      <c r="CK933">
        <v>21</v>
      </c>
      <c r="CL933" t="s">
        <v>87</v>
      </c>
    </row>
    <row r="934" spans="1:90" x14ac:dyDescent="0.3">
      <c r="A934" t="s">
        <v>72</v>
      </c>
      <c r="B934" t="s">
        <v>73</v>
      </c>
      <c r="C934" t="s">
        <v>74</v>
      </c>
      <c r="E934" t="str">
        <f>"080069748669"</f>
        <v>080069748669</v>
      </c>
      <c r="F934" s="3">
        <v>45999</v>
      </c>
      <c r="G934">
        <v>202609</v>
      </c>
      <c r="H934" t="s">
        <v>75</v>
      </c>
      <c r="I934" t="s">
        <v>76</v>
      </c>
      <c r="J934" t="s">
        <v>77</v>
      </c>
      <c r="K934" t="s">
        <v>78</v>
      </c>
      <c r="L934" t="s">
        <v>141</v>
      </c>
      <c r="M934" t="s">
        <v>142</v>
      </c>
      <c r="N934" t="s">
        <v>214</v>
      </c>
      <c r="O934" t="s">
        <v>89</v>
      </c>
      <c r="P934" t="str">
        <f>"4170072287                    "</f>
        <v xml:space="preserve">4170072287                    </v>
      </c>
      <c r="Q934">
        <v>0</v>
      </c>
      <c r="R934">
        <v>0</v>
      </c>
      <c r="S934">
        <v>0</v>
      </c>
      <c r="T934">
        <v>0</v>
      </c>
      <c r="U934">
        <v>0</v>
      </c>
      <c r="V934">
        <v>0</v>
      </c>
      <c r="W934">
        <v>0</v>
      </c>
      <c r="X934">
        <v>0</v>
      </c>
      <c r="Y934">
        <v>0</v>
      </c>
      <c r="Z934">
        <v>0</v>
      </c>
      <c r="AA934">
        <v>0</v>
      </c>
      <c r="AB934">
        <v>0</v>
      </c>
      <c r="AC934">
        <v>0</v>
      </c>
      <c r="AD934">
        <v>0</v>
      </c>
      <c r="AE934">
        <v>0</v>
      </c>
      <c r="AF934">
        <v>0</v>
      </c>
      <c r="AG934">
        <v>0</v>
      </c>
      <c r="AH934">
        <v>0</v>
      </c>
      <c r="AI934">
        <v>0</v>
      </c>
      <c r="AJ934">
        <v>0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25.52</v>
      </c>
      <c r="AR934">
        <v>0</v>
      </c>
      <c r="AS934">
        <v>0</v>
      </c>
      <c r="AT934">
        <v>0</v>
      </c>
      <c r="AU934">
        <v>0</v>
      </c>
      <c r="AV934">
        <v>0</v>
      </c>
      <c r="AW934">
        <v>0</v>
      </c>
      <c r="AX934">
        <v>0</v>
      </c>
      <c r="AY934">
        <v>0</v>
      </c>
      <c r="AZ934">
        <v>0</v>
      </c>
      <c r="BA934">
        <v>0</v>
      </c>
      <c r="BB934">
        <v>0</v>
      </c>
      <c r="BC934">
        <v>0</v>
      </c>
      <c r="BD934">
        <v>0</v>
      </c>
      <c r="BE934">
        <v>0</v>
      </c>
      <c r="BF934">
        <v>0</v>
      </c>
      <c r="BG934">
        <v>0</v>
      </c>
      <c r="BH934">
        <v>1</v>
      </c>
      <c r="BI934">
        <v>1</v>
      </c>
      <c r="BJ934">
        <v>0.2</v>
      </c>
      <c r="BK934">
        <v>1</v>
      </c>
      <c r="BL934">
        <v>76.06</v>
      </c>
      <c r="BM934">
        <v>11.41</v>
      </c>
      <c r="BN934">
        <v>87.47</v>
      </c>
      <c r="BO934">
        <v>87.47</v>
      </c>
      <c r="BQ934" t="s">
        <v>215</v>
      </c>
      <c r="BR934" t="s">
        <v>82</v>
      </c>
      <c r="BS934" s="3">
        <v>46000</v>
      </c>
      <c r="BT934" s="4">
        <v>0.37222222222222223</v>
      </c>
      <c r="BU934" t="s">
        <v>1660</v>
      </c>
      <c r="BV934" t="s">
        <v>84</v>
      </c>
      <c r="BY934">
        <v>1200</v>
      </c>
      <c r="CA934" t="s">
        <v>489</v>
      </c>
      <c r="CC934" t="s">
        <v>142</v>
      </c>
      <c r="CD934">
        <v>6001</v>
      </c>
      <c r="CE934" t="s">
        <v>134</v>
      </c>
      <c r="CF934" s="3">
        <v>46000</v>
      </c>
      <c r="CI934">
        <v>1</v>
      </c>
      <c r="CJ934">
        <v>1</v>
      </c>
      <c r="CK934">
        <v>21</v>
      </c>
      <c r="CL934" t="s">
        <v>87</v>
      </c>
    </row>
    <row r="935" spans="1:90" x14ac:dyDescent="0.3">
      <c r="A935" t="s">
        <v>72</v>
      </c>
      <c r="B935" t="s">
        <v>73</v>
      </c>
      <c r="C935" t="s">
        <v>74</v>
      </c>
      <c r="E935" t="str">
        <f>"080069748645"</f>
        <v>080069748645</v>
      </c>
      <c r="F935" s="3">
        <v>45999</v>
      </c>
      <c r="G935">
        <v>202609</v>
      </c>
      <c r="H935" t="s">
        <v>75</v>
      </c>
      <c r="I935" t="s">
        <v>76</v>
      </c>
      <c r="J935" t="s">
        <v>77</v>
      </c>
      <c r="K935" t="s">
        <v>78</v>
      </c>
      <c r="L935" t="s">
        <v>100</v>
      </c>
      <c r="M935" t="s">
        <v>101</v>
      </c>
      <c r="N935" t="s">
        <v>102</v>
      </c>
      <c r="O935" t="s">
        <v>89</v>
      </c>
      <c r="P935" t="str">
        <f>"4170072259                    "</f>
        <v xml:space="preserve">4170072259                    </v>
      </c>
      <c r="Q935">
        <v>0</v>
      </c>
      <c r="R935">
        <v>0</v>
      </c>
      <c r="S935">
        <v>0</v>
      </c>
      <c r="T935">
        <v>0</v>
      </c>
      <c r="U935">
        <v>0</v>
      </c>
      <c r="V935">
        <v>0</v>
      </c>
      <c r="W935">
        <v>0</v>
      </c>
      <c r="X935">
        <v>0</v>
      </c>
      <c r="Y935">
        <v>0</v>
      </c>
      <c r="Z935">
        <v>0</v>
      </c>
      <c r="AA935">
        <v>0</v>
      </c>
      <c r="AB935">
        <v>0</v>
      </c>
      <c r="AC935">
        <v>0</v>
      </c>
      <c r="AD935">
        <v>0</v>
      </c>
      <c r="AE935">
        <v>0</v>
      </c>
      <c r="AF935">
        <v>0</v>
      </c>
      <c r="AG935">
        <v>0</v>
      </c>
      <c r="AH935">
        <v>0</v>
      </c>
      <c r="AI935">
        <v>0</v>
      </c>
      <c r="AJ935">
        <v>0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38.28</v>
      </c>
      <c r="AR935">
        <v>0</v>
      </c>
      <c r="AS935">
        <v>0</v>
      </c>
      <c r="AT935">
        <v>0</v>
      </c>
      <c r="AU935">
        <v>0</v>
      </c>
      <c r="AV935">
        <v>0</v>
      </c>
      <c r="AW935">
        <v>0</v>
      </c>
      <c r="AX935">
        <v>0</v>
      </c>
      <c r="AY935">
        <v>0</v>
      </c>
      <c r="AZ935">
        <v>0</v>
      </c>
      <c r="BA935">
        <v>0</v>
      </c>
      <c r="BB935">
        <v>0</v>
      </c>
      <c r="BC935">
        <v>0</v>
      </c>
      <c r="BD935">
        <v>0</v>
      </c>
      <c r="BE935">
        <v>0</v>
      </c>
      <c r="BF935">
        <v>0</v>
      </c>
      <c r="BG935">
        <v>0</v>
      </c>
      <c r="BH935">
        <v>1</v>
      </c>
      <c r="BI935">
        <v>3</v>
      </c>
      <c r="BJ935">
        <v>1.1000000000000001</v>
      </c>
      <c r="BK935">
        <v>3</v>
      </c>
      <c r="BL935">
        <v>114.08</v>
      </c>
      <c r="BM935">
        <v>17.11</v>
      </c>
      <c r="BN935">
        <v>131.19</v>
      </c>
      <c r="BO935">
        <v>131.19</v>
      </c>
      <c r="BQ935" t="s">
        <v>103</v>
      </c>
      <c r="BR935" t="s">
        <v>82</v>
      </c>
      <c r="BS935" s="3">
        <v>46000</v>
      </c>
      <c r="BT935" s="4">
        <v>0.35833333333333334</v>
      </c>
      <c r="BU935" t="s">
        <v>104</v>
      </c>
      <c r="BV935" t="s">
        <v>84</v>
      </c>
      <c r="BY935">
        <v>5510</v>
      </c>
      <c r="CA935" t="s">
        <v>107</v>
      </c>
      <c r="CC935" t="s">
        <v>101</v>
      </c>
      <c r="CD935">
        <v>4051</v>
      </c>
      <c r="CE935" t="s">
        <v>86</v>
      </c>
      <c r="CF935" s="3">
        <v>46001</v>
      </c>
      <c r="CI935">
        <v>1</v>
      </c>
      <c r="CJ935">
        <v>1</v>
      </c>
      <c r="CK935">
        <v>21</v>
      </c>
      <c r="CL935" t="s">
        <v>87</v>
      </c>
    </row>
    <row r="936" spans="1:90" x14ac:dyDescent="0.3">
      <c r="A936" t="s">
        <v>72</v>
      </c>
      <c r="B936" t="s">
        <v>73</v>
      </c>
      <c r="C936" t="s">
        <v>74</v>
      </c>
      <c r="E936" t="str">
        <f>"080069748698"</f>
        <v>080069748698</v>
      </c>
      <c r="F936" s="3">
        <v>45999</v>
      </c>
      <c r="G936">
        <v>202609</v>
      </c>
      <c r="H936" t="s">
        <v>75</v>
      </c>
      <c r="I936" t="s">
        <v>76</v>
      </c>
      <c r="J936" t="s">
        <v>77</v>
      </c>
      <c r="K936" t="s">
        <v>78</v>
      </c>
      <c r="L936" t="s">
        <v>128</v>
      </c>
      <c r="M936" t="s">
        <v>129</v>
      </c>
      <c r="N936" t="s">
        <v>183</v>
      </c>
      <c r="O936" t="s">
        <v>89</v>
      </c>
      <c r="P936" t="str">
        <f>"4170072271                    "</f>
        <v xml:space="preserve">4170072271                    </v>
      </c>
      <c r="Q936">
        <v>0</v>
      </c>
      <c r="R936">
        <v>0</v>
      </c>
      <c r="S936">
        <v>0</v>
      </c>
      <c r="T936">
        <v>0</v>
      </c>
      <c r="U936">
        <v>0</v>
      </c>
      <c r="V936">
        <v>0</v>
      </c>
      <c r="W936">
        <v>0</v>
      </c>
      <c r="X936">
        <v>0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>
        <v>0</v>
      </c>
      <c r="AG936">
        <v>0</v>
      </c>
      <c r="AH936">
        <v>0</v>
      </c>
      <c r="AI936">
        <v>0</v>
      </c>
      <c r="AJ936">
        <v>0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51.04</v>
      </c>
      <c r="AR936">
        <v>0</v>
      </c>
      <c r="AS936">
        <v>0</v>
      </c>
      <c r="AT936">
        <v>0</v>
      </c>
      <c r="AU936">
        <v>0</v>
      </c>
      <c r="AV936">
        <v>0</v>
      </c>
      <c r="AW936">
        <v>0</v>
      </c>
      <c r="AX936">
        <v>0</v>
      </c>
      <c r="AY936">
        <v>0</v>
      </c>
      <c r="AZ936">
        <v>0</v>
      </c>
      <c r="BA936">
        <v>0</v>
      </c>
      <c r="BB936">
        <v>0</v>
      </c>
      <c r="BC936">
        <v>0</v>
      </c>
      <c r="BD936">
        <v>0</v>
      </c>
      <c r="BE936">
        <v>0</v>
      </c>
      <c r="BF936">
        <v>0</v>
      </c>
      <c r="BG936">
        <v>0</v>
      </c>
      <c r="BH936">
        <v>1</v>
      </c>
      <c r="BI936">
        <v>3</v>
      </c>
      <c r="BJ936">
        <v>3.6</v>
      </c>
      <c r="BK936">
        <v>4</v>
      </c>
      <c r="BL936">
        <v>152.1</v>
      </c>
      <c r="BM936">
        <v>22.82</v>
      </c>
      <c r="BN936">
        <v>174.92</v>
      </c>
      <c r="BO936">
        <v>174.92</v>
      </c>
      <c r="BQ936" t="s">
        <v>184</v>
      </c>
      <c r="BR936" t="s">
        <v>82</v>
      </c>
      <c r="BS936" s="3">
        <v>46001</v>
      </c>
      <c r="BT936" s="4">
        <v>0.56180555555555556</v>
      </c>
      <c r="BU936" t="s">
        <v>1705</v>
      </c>
      <c r="BV936" t="s">
        <v>87</v>
      </c>
      <c r="BW936" t="s">
        <v>186</v>
      </c>
      <c r="BX936" t="s">
        <v>187</v>
      </c>
      <c r="BY936">
        <v>17920</v>
      </c>
      <c r="CA936" t="s">
        <v>1692</v>
      </c>
      <c r="CC936" t="s">
        <v>129</v>
      </c>
      <c r="CD936">
        <v>5201</v>
      </c>
      <c r="CE936" t="s">
        <v>93</v>
      </c>
      <c r="CF936" s="3">
        <v>46002</v>
      </c>
      <c r="CI936">
        <v>1</v>
      </c>
      <c r="CJ936">
        <v>2</v>
      </c>
      <c r="CK936">
        <v>21</v>
      </c>
      <c r="CL936" t="s">
        <v>87</v>
      </c>
    </row>
    <row r="937" spans="1:90" x14ac:dyDescent="0.3">
      <c r="A937" t="s">
        <v>72</v>
      </c>
      <c r="B937" t="s">
        <v>73</v>
      </c>
      <c r="C937" t="s">
        <v>74</v>
      </c>
      <c r="E937" t="str">
        <f>"080069748702"</f>
        <v>080069748702</v>
      </c>
      <c r="F937" s="3">
        <v>45999</v>
      </c>
      <c r="G937">
        <v>202609</v>
      </c>
      <c r="H937" t="s">
        <v>75</v>
      </c>
      <c r="I937" t="s">
        <v>76</v>
      </c>
      <c r="J937" t="s">
        <v>77</v>
      </c>
      <c r="K937" t="s">
        <v>78</v>
      </c>
      <c r="L937" t="s">
        <v>1002</v>
      </c>
      <c r="M937" t="s">
        <v>1003</v>
      </c>
      <c r="N937" t="s">
        <v>1004</v>
      </c>
      <c r="O937" t="s">
        <v>89</v>
      </c>
      <c r="P937" t="str">
        <f>"4170072286                    "</f>
        <v xml:space="preserve">4170072286                    </v>
      </c>
      <c r="Q937">
        <v>0</v>
      </c>
      <c r="R937">
        <v>0</v>
      </c>
      <c r="S937">
        <v>0</v>
      </c>
      <c r="T937">
        <v>0</v>
      </c>
      <c r="U937">
        <v>0</v>
      </c>
      <c r="V937">
        <v>0</v>
      </c>
      <c r="W937">
        <v>0</v>
      </c>
      <c r="X937">
        <v>0</v>
      </c>
      <c r="Y937">
        <v>0</v>
      </c>
      <c r="Z937">
        <v>0</v>
      </c>
      <c r="AA937">
        <v>0</v>
      </c>
      <c r="AB937">
        <v>0</v>
      </c>
      <c r="AC937">
        <v>0</v>
      </c>
      <c r="AD937">
        <v>0</v>
      </c>
      <c r="AE937">
        <v>0</v>
      </c>
      <c r="AF937">
        <v>0</v>
      </c>
      <c r="AG937">
        <v>0</v>
      </c>
      <c r="AH937">
        <v>0</v>
      </c>
      <c r="AI937">
        <v>0</v>
      </c>
      <c r="AJ937">
        <v>0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49.45</v>
      </c>
      <c r="AR937">
        <v>0</v>
      </c>
      <c r="AS937">
        <v>0</v>
      </c>
      <c r="AT937">
        <v>0</v>
      </c>
      <c r="AU937">
        <v>0</v>
      </c>
      <c r="AV937">
        <v>0</v>
      </c>
      <c r="AW937">
        <v>0</v>
      </c>
      <c r="AX937">
        <v>0</v>
      </c>
      <c r="AY937">
        <v>0</v>
      </c>
      <c r="AZ937">
        <v>0</v>
      </c>
      <c r="BA937">
        <v>0</v>
      </c>
      <c r="BB937">
        <v>0</v>
      </c>
      <c r="BC937">
        <v>0</v>
      </c>
      <c r="BD937">
        <v>0</v>
      </c>
      <c r="BE937">
        <v>0</v>
      </c>
      <c r="BF937">
        <v>0</v>
      </c>
      <c r="BG937">
        <v>0</v>
      </c>
      <c r="BH937">
        <v>1</v>
      </c>
      <c r="BI937">
        <v>1</v>
      </c>
      <c r="BJ937">
        <v>0.2</v>
      </c>
      <c r="BK937">
        <v>1</v>
      </c>
      <c r="BL937">
        <v>147.38</v>
      </c>
      <c r="BM937">
        <v>22.11</v>
      </c>
      <c r="BN937">
        <v>169.49</v>
      </c>
      <c r="BO937">
        <v>169.49</v>
      </c>
      <c r="BQ937" t="s">
        <v>1005</v>
      </c>
      <c r="BR937" t="s">
        <v>82</v>
      </c>
      <c r="BS937" t="s">
        <v>500</v>
      </c>
      <c r="BY937">
        <v>1200</v>
      </c>
      <c r="CC937" t="s">
        <v>1003</v>
      </c>
      <c r="CD937">
        <v>4449</v>
      </c>
      <c r="CE937" t="s">
        <v>134</v>
      </c>
      <c r="CI937">
        <v>1</v>
      </c>
      <c r="CJ937" t="s">
        <v>500</v>
      </c>
      <c r="CK937">
        <v>23</v>
      </c>
      <c r="CL937" t="s">
        <v>87</v>
      </c>
    </row>
    <row r="938" spans="1:90" x14ac:dyDescent="0.3">
      <c r="A938" t="s">
        <v>72</v>
      </c>
      <c r="B938" t="s">
        <v>73</v>
      </c>
      <c r="C938" t="s">
        <v>74</v>
      </c>
      <c r="E938" t="str">
        <f>"080069748890"</f>
        <v>080069748890</v>
      </c>
      <c r="F938" s="3">
        <v>45999</v>
      </c>
      <c r="G938">
        <v>202609</v>
      </c>
      <c r="H938" t="s">
        <v>75</v>
      </c>
      <c r="I938" t="s">
        <v>76</v>
      </c>
      <c r="J938" t="s">
        <v>77</v>
      </c>
      <c r="K938" t="s">
        <v>78</v>
      </c>
      <c r="L938" t="s">
        <v>94</v>
      </c>
      <c r="M938" t="s">
        <v>95</v>
      </c>
      <c r="N938" t="s">
        <v>1706</v>
      </c>
      <c r="O938" t="s">
        <v>89</v>
      </c>
      <c r="P938" t="str">
        <f>"4170072130                    "</f>
        <v xml:space="preserve">4170072130                    </v>
      </c>
      <c r="Q938">
        <v>0</v>
      </c>
      <c r="R938">
        <v>0</v>
      </c>
      <c r="S938">
        <v>0</v>
      </c>
      <c r="T938">
        <v>0</v>
      </c>
      <c r="U938">
        <v>0</v>
      </c>
      <c r="V938">
        <v>0</v>
      </c>
      <c r="W938">
        <v>0</v>
      </c>
      <c r="X938">
        <v>0</v>
      </c>
      <c r="Y938">
        <v>0</v>
      </c>
      <c r="Z938">
        <v>0</v>
      </c>
      <c r="AA938">
        <v>0</v>
      </c>
      <c r="AB938">
        <v>0</v>
      </c>
      <c r="AC938">
        <v>0</v>
      </c>
      <c r="AD938">
        <v>0</v>
      </c>
      <c r="AE938">
        <v>0</v>
      </c>
      <c r="AF938">
        <v>0</v>
      </c>
      <c r="AG938">
        <v>0</v>
      </c>
      <c r="AH938">
        <v>0</v>
      </c>
      <c r="AI938">
        <v>0</v>
      </c>
      <c r="AJ938">
        <v>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25.52</v>
      </c>
      <c r="AR938">
        <v>0</v>
      </c>
      <c r="AS938">
        <v>0</v>
      </c>
      <c r="AT938">
        <v>0</v>
      </c>
      <c r="AU938">
        <v>0</v>
      </c>
      <c r="AV938">
        <v>0</v>
      </c>
      <c r="AW938">
        <v>0</v>
      </c>
      <c r="AX938">
        <v>0</v>
      </c>
      <c r="AY938">
        <v>0</v>
      </c>
      <c r="AZ938">
        <v>0</v>
      </c>
      <c r="BA938">
        <v>0</v>
      </c>
      <c r="BB938">
        <v>0</v>
      </c>
      <c r="BC938">
        <v>0</v>
      </c>
      <c r="BD938">
        <v>0</v>
      </c>
      <c r="BE938">
        <v>0</v>
      </c>
      <c r="BF938">
        <v>0</v>
      </c>
      <c r="BG938">
        <v>0</v>
      </c>
      <c r="BH938">
        <v>1</v>
      </c>
      <c r="BI938">
        <v>2</v>
      </c>
      <c r="BJ938">
        <v>1.5</v>
      </c>
      <c r="BK938">
        <v>2</v>
      </c>
      <c r="BL938">
        <v>76.06</v>
      </c>
      <c r="BM938">
        <v>11.41</v>
      </c>
      <c r="BN938">
        <v>87.47</v>
      </c>
      <c r="BO938">
        <v>87.47</v>
      </c>
      <c r="BQ938" t="s">
        <v>1707</v>
      </c>
      <c r="BR938" t="s">
        <v>82</v>
      </c>
      <c r="BS938" s="3">
        <v>46000</v>
      </c>
      <c r="BT938" s="4">
        <v>0.36944444444444446</v>
      </c>
      <c r="BU938" t="s">
        <v>1708</v>
      </c>
      <c r="BV938" t="s">
        <v>84</v>
      </c>
      <c r="BY938">
        <v>7540</v>
      </c>
      <c r="CA938" t="s">
        <v>929</v>
      </c>
      <c r="CC938" t="s">
        <v>95</v>
      </c>
      <c r="CD938">
        <v>3600</v>
      </c>
      <c r="CE938" t="s">
        <v>86</v>
      </c>
      <c r="CF938" s="3">
        <v>46000</v>
      </c>
      <c r="CI938">
        <v>1</v>
      </c>
      <c r="CJ938">
        <v>1</v>
      </c>
      <c r="CK938">
        <v>21</v>
      </c>
      <c r="CL938" t="s">
        <v>87</v>
      </c>
    </row>
    <row r="939" spans="1:90" x14ac:dyDescent="0.3">
      <c r="A939" t="s">
        <v>72</v>
      </c>
      <c r="B939" t="s">
        <v>73</v>
      </c>
      <c r="C939" t="s">
        <v>74</v>
      </c>
      <c r="E939" t="str">
        <f>"080069748930"</f>
        <v>080069748930</v>
      </c>
      <c r="F939" s="3">
        <v>45999</v>
      </c>
      <c r="G939">
        <v>202609</v>
      </c>
      <c r="H939" t="s">
        <v>75</v>
      </c>
      <c r="I939" t="s">
        <v>76</v>
      </c>
      <c r="J939" t="s">
        <v>77</v>
      </c>
      <c r="K939" t="s">
        <v>78</v>
      </c>
      <c r="L939" t="s">
        <v>265</v>
      </c>
      <c r="M939" t="s">
        <v>266</v>
      </c>
      <c r="N939" t="s">
        <v>316</v>
      </c>
      <c r="O939" t="s">
        <v>89</v>
      </c>
      <c r="P939" t="str">
        <f>"4170072251                    "</f>
        <v xml:space="preserve">4170072251                    </v>
      </c>
      <c r="Q939">
        <v>0</v>
      </c>
      <c r="R939">
        <v>0</v>
      </c>
      <c r="S939">
        <v>0</v>
      </c>
      <c r="T939">
        <v>0</v>
      </c>
      <c r="U939">
        <v>0</v>
      </c>
      <c r="V939">
        <v>0</v>
      </c>
      <c r="W939">
        <v>0</v>
      </c>
      <c r="X939">
        <v>0</v>
      </c>
      <c r="Y939">
        <v>0</v>
      </c>
      <c r="Z939">
        <v>0</v>
      </c>
      <c r="AA939">
        <v>0</v>
      </c>
      <c r="AB939">
        <v>0</v>
      </c>
      <c r="AC939">
        <v>0</v>
      </c>
      <c r="AD939">
        <v>0</v>
      </c>
      <c r="AE939">
        <v>0</v>
      </c>
      <c r="AF939">
        <v>0</v>
      </c>
      <c r="AG939">
        <v>0</v>
      </c>
      <c r="AH939">
        <v>0</v>
      </c>
      <c r="AI939">
        <v>0</v>
      </c>
      <c r="AJ939">
        <v>0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19.940000000000001</v>
      </c>
      <c r="AR939">
        <v>0</v>
      </c>
      <c r="AS939">
        <v>0</v>
      </c>
      <c r="AT939">
        <v>0</v>
      </c>
      <c r="AU939">
        <v>0</v>
      </c>
      <c r="AV939">
        <v>0</v>
      </c>
      <c r="AW939">
        <v>0</v>
      </c>
      <c r="AX939">
        <v>0</v>
      </c>
      <c r="AY939">
        <v>0</v>
      </c>
      <c r="AZ939">
        <v>0</v>
      </c>
      <c r="BA939">
        <v>0</v>
      </c>
      <c r="BB939">
        <v>0</v>
      </c>
      <c r="BC939">
        <v>0</v>
      </c>
      <c r="BD939">
        <v>0</v>
      </c>
      <c r="BE939">
        <v>0</v>
      </c>
      <c r="BF939">
        <v>0</v>
      </c>
      <c r="BG939">
        <v>0</v>
      </c>
      <c r="BH939">
        <v>1</v>
      </c>
      <c r="BI939">
        <v>4</v>
      </c>
      <c r="BJ939">
        <v>4.0999999999999996</v>
      </c>
      <c r="BK939">
        <v>5</v>
      </c>
      <c r="BL939">
        <v>59.42</v>
      </c>
      <c r="BM939">
        <v>8.91</v>
      </c>
      <c r="BN939">
        <v>68.33</v>
      </c>
      <c r="BO939">
        <v>68.33</v>
      </c>
      <c r="BQ939" t="s">
        <v>317</v>
      </c>
      <c r="BR939" t="s">
        <v>82</v>
      </c>
      <c r="BS939" s="3">
        <v>46000</v>
      </c>
      <c r="BT939" s="4">
        <v>0.39513888888888887</v>
      </c>
      <c r="BU939" t="s">
        <v>1709</v>
      </c>
      <c r="BV939" t="s">
        <v>84</v>
      </c>
      <c r="BY939">
        <v>20358</v>
      </c>
      <c r="CA939" t="s">
        <v>319</v>
      </c>
      <c r="CC939" t="s">
        <v>266</v>
      </c>
      <c r="CD939">
        <v>1459</v>
      </c>
      <c r="CE939" t="s">
        <v>86</v>
      </c>
      <c r="CF939" s="3">
        <v>46001</v>
      </c>
      <c r="CI939">
        <v>1</v>
      </c>
      <c r="CJ939">
        <v>1</v>
      </c>
      <c r="CK939">
        <v>22</v>
      </c>
      <c r="CL939" t="s">
        <v>87</v>
      </c>
    </row>
    <row r="940" spans="1:90" x14ac:dyDescent="0.3">
      <c r="A940" t="s">
        <v>72</v>
      </c>
      <c r="B940" t="s">
        <v>73</v>
      </c>
      <c r="C940" t="s">
        <v>74</v>
      </c>
      <c r="E940" t="str">
        <f>"080069748947"</f>
        <v>080069748947</v>
      </c>
      <c r="F940" s="3">
        <v>45999</v>
      </c>
      <c r="G940">
        <v>202609</v>
      </c>
      <c r="H940" t="s">
        <v>75</v>
      </c>
      <c r="I940" t="s">
        <v>76</v>
      </c>
      <c r="J940" t="s">
        <v>77</v>
      </c>
      <c r="K940" t="s">
        <v>78</v>
      </c>
      <c r="L940" t="s">
        <v>128</v>
      </c>
      <c r="M940" t="s">
        <v>129</v>
      </c>
      <c r="N940" t="s">
        <v>383</v>
      </c>
      <c r="O940" t="s">
        <v>80</v>
      </c>
      <c r="P940" t="str">
        <f>"4170072246                    "</f>
        <v xml:space="preserve">4170072246                    </v>
      </c>
      <c r="Q940">
        <v>0</v>
      </c>
      <c r="R940">
        <v>0</v>
      </c>
      <c r="S940">
        <v>0</v>
      </c>
      <c r="T940">
        <v>0</v>
      </c>
      <c r="U940">
        <v>0</v>
      </c>
      <c r="V940">
        <v>0</v>
      </c>
      <c r="W940">
        <v>0</v>
      </c>
      <c r="X940">
        <v>0</v>
      </c>
      <c r="Y940">
        <v>0</v>
      </c>
      <c r="Z940">
        <v>0</v>
      </c>
      <c r="AA940">
        <v>0</v>
      </c>
      <c r="AB940">
        <v>0</v>
      </c>
      <c r="AC940">
        <v>0</v>
      </c>
      <c r="AD940">
        <v>0</v>
      </c>
      <c r="AE940">
        <v>0</v>
      </c>
      <c r="AF940">
        <v>0</v>
      </c>
      <c r="AG940">
        <v>0</v>
      </c>
      <c r="AH940">
        <v>0</v>
      </c>
      <c r="AI940">
        <v>0</v>
      </c>
      <c r="AJ940">
        <v>0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114.65</v>
      </c>
      <c r="AR940">
        <v>0</v>
      </c>
      <c r="AS940">
        <v>0</v>
      </c>
      <c r="AT940">
        <v>0</v>
      </c>
      <c r="AU940">
        <v>0</v>
      </c>
      <c r="AV940">
        <v>0</v>
      </c>
      <c r="AW940">
        <v>0</v>
      </c>
      <c r="AX940">
        <v>0</v>
      </c>
      <c r="AY940">
        <v>0</v>
      </c>
      <c r="AZ940">
        <v>0</v>
      </c>
      <c r="BA940">
        <v>0</v>
      </c>
      <c r="BB940">
        <v>0</v>
      </c>
      <c r="BC940">
        <v>0</v>
      </c>
      <c r="BD940">
        <v>0</v>
      </c>
      <c r="BE940">
        <v>0</v>
      </c>
      <c r="BF940">
        <v>0</v>
      </c>
      <c r="BG940">
        <v>0</v>
      </c>
      <c r="BH940">
        <v>2</v>
      </c>
      <c r="BI940">
        <v>23</v>
      </c>
      <c r="BJ940">
        <v>46.2</v>
      </c>
      <c r="BK940">
        <v>47</v>
      </c>
      <c r="BL940">
        <v>347.77</v>
      </c>
      <c r="BM940">
        <v>52.17</v>
      </c>
      <c r="BN940">
        <v>399.94</v>
      </c>
      <c r="BO940">
        <v>399.94</v>
      </c>
      <c r="BQ940" t="s">
        <v>384</v>
      </c>
      <c r="BR940" t="s">
        <v>82</v>
      </c>
      <c r="BS940" s="3">
        <v>46001</v>
      </c>
      <c r="BT940" s="4">
        <v>0.52152777777777781</v>
      </c>
      <c r="BU940" t="s">
        <v>1710</v>
      </c>
      <c r="BV940" t="s">
        <v>84</v>
      </c>
      <c r="BY940">
        <v>231168</v>
      </c>
      <c r="CA940" t="s">
        <v>188</v>
      </c>
      <c r="CC940" t="s">
        <v>129</v>
      </c>
      <c r="CD940">
        <v>5201</v>
      </c>
      <c r="CE940" t="s">
        <v>93</v>
      </c>
      <c r="CF940" s="3">
        <v>46002</v>
      </c>
      <c r="CI940">
        <v>3</v>
      </c>
      <c r="CJ940">
        <v>2</v>
      </c>
      <c r="CK940">
        <v>41</v>
      </c>
      <c r="CL940" t="s">
        <v>87</v>
      </c>
    </row>
    <row r="941" spans="1:90" x14ac:dyDescent="0.3">
      <c r="A941" t="s">
        <v>72</v>
      </c>
      <c r="B941" t="s">
        <v>73</v>
      </c>
      <c r="C941" t="s">
        <v>74</v>
      </c>
      <c r="E941" t="str">
        <f>"080069749011"</f>
        <v>080069749011</v>
      </c>
      <c r="F941" s="3">
        <v>45999</v>
      </c>
      <c r="G941">
        <v>202609</v>
      </c>
      <c r="H941" t="s">
        <v>75</v>
      </c>
      <c r="I941" t="s">
        <v>76</v>
      </c>
      <c r="J941" t="s">
        <v>77</v>
      </c>
      <c r="K941" t="s">
        <v>78</v>
      </c>
      <c r="L941" t="s">
        <v>302</v>
      </c>
      <c r="M941" t="s">
        <v>303</v>
      </c>
      <c r="N941" t="s">
        <v>795</v>
      </c>
      <c r="O941" t="s">
        <v>89</v>
      </c>
      <c r="P941" t="str">
        <f>"4170072243                    "</f>
        <v xml:space="preserve">4170072243                    </v>
      </c>
      <c r="Q941">
        <v>0</v>
      </c>
      <c r="R941">
        <v>0</v>
      </c>
      <c r="S941">
        <v>0</v>
      </c>
      <c r="T941">
        <v>0</v>
      </c>
      <c r="U941">
        <v>0</v>
      </c>
      <c r="V941">
        <v>0</v>
      </c>
      <c r="W941">
        <v>0</v>
      </c>
      <c r="X941">
        <v>0</v>
      </c>
      <c r="Y941">
        <v>0</v>
      </c>
      <c r="Z941">
        <v>0</v>
      </c>
      <c r="AA941">
        <v>0</v>
      </c>
      <c r="AB941">
        <v>0</v>
      </c>
      <c r="AC941">
        <v>0</v>
      </c>
      <c r="AD941">
        <v>0</v>
      </c>
      <c r="AE941">
        <v>0</v>
      </c>
      <c r="AF941">
        <v>0</v>
      </c>
      <c r="AG941">
        <v>0</v>
      </c>
      <c r="AH941">
        <v>0</v>
      </c>
      <c r="AI941">
        <v>0</v>
      </c>
      <c r="AJ941">
        <v>0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25.52</v>
      </c>
      <c r="AR941">
        <v>0</v>
      </c>
      <c r="AS941">
        <v>0</v>
      </c>
      <c r="AT941">
        <v>0</v>
      </c>
      <c r="AU941">
        <v>0</v>
      </c>
      <c r="AV941">
        <v>0</v>
      </c>
      <c r="AW941">
        <v>0</v>
      </c>
      <c r="AX941">
        <v>0</v>
      </c>
      <c r="AY941">
        <v>0</v>
      </c>
      <c r="AZ941">
        <v>0</v>
      </c>
      <c r="BA941">
        <v>0</v>
      </c>
      <c r="BB941">
        <v>0</v>
      </c>
      <c r="BC941">
        <v>0</v>
      </c>
      <c r="BD941">
        <v>0</v>
      </c>
      <c r="BE941">
        <v>0</v>
      </c>
      <c r="BF941">
        <v>0</v>
      </c>
      <c r="BG941">
        <v>0</v>
      </c>
      <c r="BH941">
        <v>1</v>
      </c>
      <c r="BI941">
        <v>1</v>
      </c>
      <c r="BJ941">
        <v>0.9</v>
      </c>
      <c r="BK941">
        <v>1</v>
      </c>
      <c r="BL941">
        <v>76.06</v>
      </c>
      <c r="BM941">
        <v>11.41</v>
      </c>
      <c r="BN941">
        <v>87.47</v>
      </c>
      <c r="BO941">
        <v>87.47</v>
      </c>
      <c r="BQ941" t="s">
        <v>796</v>
      </c>
      <c r="BR941" t="s">
        <v>82</v>
      </c>
      <c r="BS941" s="3">
        <v>46000</v>
      </c>
      <c r="BT941" s="4">
        <v>0.37569444444444444</v>
      </c>
      <c r="BU941" t="s">
        <v>1711</v>
      </c>
      <c r="BV941" t="s">
        <v>84</v>
      </c>
      <c r="BY941">
        <v>4256</v>
      </c>
      <c r="CA941">
        <v>9107126013089</v>
      </c>
      <c r="CC941" t="s">
        <v>303</v>
      </c>
      <c r="CD941" s="5" t="s">
        <v>664</v>
      </c>
      <c r="CE941" t="s">
        <v>86</v>
      </c>
      <c r="CF941" s="3">
        <v>46000</v>
      </c>
      <c r="CI941">
        <v>1</v>
      </c>
      <c r="CJ941">
        <v>1</v>
      </c>
      <c r="CK941">
        <v>21</v>
      </c>
      <c r="CL941" t="s">
        <v>87</v>
      </c>
    </row>
    <row r="942" spans="1:90" x14ac:dyDescent="0.3">
      <c r="A942" t="s">
        <v>72</v>
      </c>
      <c r="B942" t="s">
        <v>73</v>
      </c>
      <c r="C942" t="s">
        <v>74</v>
      </c>
      <c r="E942" t="str">
        <f>"080069749020"</f>
        <v>080069749020</v>
      </c>
      <c r="F942" s="3">
        <v>45999</v>
      </c>
      <c r="G942">
        <v>202609</v>
      </c>
      <c r="H942" t="s">
        <v>75</v>
      </c>
      <c r="I942" t="s">
        <v>76</v>
      </c>
      <c r="J942" t="s">
        <v>77</v>
      </c>
      <c r="K942" t="s">
        <v>78</v>
      </c>
      <c r="L942" t="s">
        <v>141</v>
      </c>
      <c r="M942" t="s">
        <v>142</v>
      </c>
      <c r="N942" t="s">
        <v>637</v>
      </c>
      <c r="O942" t="s">
        <v>89</v>
      </c>
      <c r="P942" t="str">
        <f>"4170072272                    "</f>
        <v xml:space="preserve">4170072272                    </v>
      </c>
      <c r="Q942">
        <v>0</v>
      </c>
      <c r="R942">
        <v>0</v>
      </c>
      <c r="S942">
        <v>0</v>
      </c>
      <c r="T942">
        <v>0</v>
      </c>
      <c r="U942">
        <v>0</v>
      </c>
      <c r="V942">
        <v>0</v>
      </c>
      <c r="W942">
        <v>0</v>
      </c>
      <c r="X942">
        <v>0</v>
      </c>
      <c r="Y942">
        <v>0</v>
      </c>
      <c r="Z942">
        <v>0</v>
      </c>
      <c r="AA942">
        <v>0</v>
      </c>
      <c r="AB942">
        <v>0</v>
      </c>
      <c r="AC942">
        <v>0</v>
      </c>
      <c r="AD942">
        <v>0</v>
      </c>
      <c r="AE942">
        <v>0</v>
      </c>
      <c r="AF942">
        <v>0</v>
      </c>
      <c r="AG942">
        <v>0</v>
      </c>
      <c r="AH942">
        <v>0</v>
      </c>
      <c r="AI942">
        <v>0</v>
      </c>
      <c r="AJ942">
        <v>0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89.3</v>
      </c>
      <c r="AR942">
        <v>0</v>
      </c>
      <c r="AS942">
        <v>0</v>
      </c>
      <c r="AT942">
        <v>0</v>
      </c>
      <c r="AU942">
        <v>0</v>
      </c>
      <c r="AV942">
        <v>0</v>
      </c>
      <c r="AW942">
        <v>0</v>
      </c>
      <c r="AX942">
        <v>0</v>
      </c>
      <c r="AY942">
        <v>0</v>
      </c>
      <c r="AZ942">
        <v>0</v>
      </c>
      <c r="BA942">
        <v>0</v>
      </c>
      <c r="BB942">
        <v>0</v>
      </c>
      <c r="BC942">
        <v>0</v>
      </c>
      <c r="BD942">
        <v>0</v>
      </c>
      <c r="BE942">
        <v>0</v>
      </c>
      <c r="BF942">
        <v>0</v>
      </c>
      <c r="BG942">
        <v>0</v>
      </c>
      <c r="BH942">
        <v>2</v>
      </c>
      <c r="BI942">
        <v>7</v>
      </c>
      <c r="BJ942">
        <v>4.3</v>
      </c>
      <c r="BK942">
        <v>7</v>
      </c>
      <c r="BL942">
        <v>266.14</v>
      </c>
      <c r="BM942">
        <v>39.92</v>
      </c>
      <c r="BN942">
        <v>306.06</v>
      </c>
      <c r="BO942">
        <v>306.06</v>
      </c>
      <c r="BQ942" t="s">
        <v>638</v>
      </c>
      <c r="BR942" t="s">
        <v>82</v>
      </c>
      <c r="BS942" s="3">
        <v>46000</v>
      </c>
      <c r="BT942" s="4">
        <v>0.37291666666666667</v>
      </c>
      <c r="BU942" t="s">
        <v>1660</v>
      </c>
      <c r="BV942" t="s">
        <v>84</v>
      </c>
      <c r="BY942">
        <v>21440</v>
      </c>
      <c r="CA942" t="s">
        <v>489</v>
      </c>
      <c r="CC942" t="s">
        <v>142</v>
      </c>
      <c r="CD942">
        <v>6001</v>
      </c>
      <c r="CE942" t="s">
        <v>134</v>
      </c>
      <c r="CF942" s="3">
        <v>46000</v>
      </c>
      <c r="CI942">
        <v>1</v>
      </c>
      <c r="CJ942">
        <v>1</v>
      </c>
      <c r="CK942">
        <v>21</v>
      </c>
      <c r="CL942" t="s">
        <v>87</v>
      </c>
    </row>
    <row r="943" spans="1:90" x14ac:dyDescent="0.3">
      <c r="A943" t="s">
        <v>72</v>
      </c>
      <c r="B943" t="s">
        <v>73</v>
      </c>
      <c r="C943" t="s">
        <v>74</v>
      </c>
      <c r="E943" t="str">
        <f>"080069749205"</f>
        <v>080069749205</v>
      </c>
      <c r="F943" s="3">
        <v>45999</v>
      </c>
      <c r="G943">
        <v>202609</v>
      </c>
      <c r="H943" t="s">
        <v>75</v>
      </c>
      <c r="I943" t="s">
        <v>76</v>
      </c>
      <c r="J943" t="s">
        <v>77</v>
      </c>
      <c r="K943" t="s">
        <v>78</v>
      </c>
      <c r="L943" t="s">
        <v>128</v>
      </c>
      <c r="M943" t="s">
        <v>129</v>
      </c>
      <c r="N943" t="s">
        <v>183</v>
      </c>
      <c r="O943" t="s">
        <v>89</v>
      </c>
      <c r="P943" t="str">
        <f>"4170072230                    "</f>
        <v xml:space="preserve">4170072230                    </v>
      </c>
      <c r="Q943">
        <v>0</v>
      </c>
      <c r="R943">
        <v>0</v>
      </c>
      <c r="S943">
        <v>0</v>
      </c>
      <c r="T943">
        <v>0</v>
      </c>
      <c r="U943">
        <v>0</v>
      </c>
      <c r="V943">
        <v>0</v>
      </c>
      <c r="W943">
        <v>0</v>
      </c>
      <c r="X943">
        <v>0</v>
      </c>
      <c r="Y943">
        <v>0</v>
      </c>
      <c r="Z943">
        <v>0</v>
      </c>
      <c r="AA943">
        <v>0</v>
      </c>
      <c r="AB943">
        <v>0</v>
      </c>
      <c r="AC943">
        <v>0</v>
      </c>
      <c r="AD943">
        <v>0</v>
      </c>
      <c r="AE943">
        <v>0</v>
      </c>
      <c r="AF943">
        <v>0</v>
      </c>
      <c r="AG943">
        <v>0</v>
      </c>
      <c r="AH943">
        <v>0</v>
      </c>
      <c r="AI943">
        <v>0</v>
      </c>
      <c r="AJ943">
        <v>0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114.82</v>
      </c>
      <c r="AR943">
        <v>0</v>
      </c>
      <c r="AS943">
        <v>0</v>
      </c>
      <c r="AT943">
        <v>0</v>
      </c>
      <c r="AU943">
        <v>0</v>
      </c>
      <c r="AV943">
        <v>0</v>
      </c>
      <c r="AW943">
        <v>0</v>
      </c>
      <c r="AX943">
        <v>0</v>
      </c>
      <c r="AY943">
        <v>0</v>
      </c>
      <c r="AZ943">
        <v>0</v>
      </c>
      <c r="BA943">
        <v>0</v>
      </c>
      <c r="BB943">
        <v>0</v>
      </c>
      <c r="BC943">
        <v>0</v>
      </c>
      <c r="BD943">
        <v>0</v>
      </c>
      <c r="BE943">
        <v>0</v>
      </c>
      <c r="BF943">
        <v>0</v>
      </c>
      <c r="BG943">
        <v>0</v>
      </c>
      <c r="BH943">
        <v>1</v>
      </c>
      <c r="BI943">
        <v>9</v>
      </c>
      <c r="BJ943">
        <v>3.6</v>
      </c>
      <c r="BK943">
        <v>9</v>
      </c>
      <c r="BL943">
        <v>342.18</v>
      </c>
      <c r="BM943">
        <v>51.33</v>
      </c>
      <c r="BN943">
        <v>393.51</v>
      </c>
      <c r="BO943">
        <v>393.51</v>
      </c>
      <c r="BQ943" t="s">
        <v>184</v>
      </c>
      <c r="BR943" t="s">
        <v>82</v>
      </c>
      <c r="BS943" s="3">
        <v>46001</v>
      </c>
      <c r="BT943" s="4">
        <v>0.56111111111111112</v>
      </c>
      <c r="BU943" t="s">
        <v>1705</v>
      </c>
      <c r="BV943" t="s">
        <v>87</v>
      </c>
      <c r="BW943" t="s">
        <v>186</v>
      </c>
      <c r="BX943" t="s">
        <v>187</v>
      </c>
      <c r="BY943">
        <v>18050</v>
      </c>
      <c r="CA943" t="s">
        <v>1692</v>
      </c>
      <c r="CC943" t="s">
        <v>129</v>
      </c>
      <c r="CD943">
        <v>5200</v>
      </c>
      <c r="CE943" t="s">
        <v>93</v>
      </c>
      <c r="CF943" s="3">
        <v>46002</v>
      </c>
      <c r="CI943">
        <v>1</v>
      </c>
      <c r="CJ943">
        <v>2</v>
      </c>
      <c r="CK943">
        <v>21</v>
      </c>
      <c r="CL943" t="s">
        <v>87</v>
      </c>
    </row>
    <row r="944" spans="1:90" x14ac:dyDescent="0.3">
      <c r="A944" t="s">
        <v>72</v>
      </c>
      <c r="B944" t="s">
        <v>73</v>
      </c>
      <c r="C944" t="s">
        <v>74</v>
      </c>
      <c r="E944" t="str">
        <f>"080069749230"</f>
        <v>080069749230</v>
      </c>
      <c r="F944" s="3">
        <v>45999</v>
      </c>
      <c r="G944">
        <v>202609</v>
      </c>
      <c r="H944" t="s">
        <v>75</v>
      </c>
      <c r="I944" t="s">
        <v>76</v>
      </c>
      <c r="J944" t="s">
        <v>77</v>
      </c>
      <c r="K944" t="s">
        <v>78</v>
      </c>
      <c r="L944" t="s">
        <v>100</v>
      </c>
      <c r="M944" t="s">
        <v>101</v>
      </c>
      <c r="N944" t="s">
        <v>102</v>
      </c>
      <c r="O944" t="s">
        <v>89</v>
      </c>
      <c r="P944" t="str">
        <f>"4170072315                    "</f>
        <v xml:space="preserve">4170072315                    </v>
      </c>
      <c r="Q944">
        <v>0</v>
      </c>
      <c r="R944">
        <v>0</v>
      </c>
      <c r="S944">
        <v>0</v>
      </c>
      <c r="T944">
        <v>0</v>
      </c>
      <c r="U944">
        <v>0</v>
      </c>
      <c r="V944">
        <v>0</v>
      </c>
      <c r="W944">
        <v>0</v>
      </c>
      <c r="X944">
        <v>0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>
        <v>0</v>
      </c>
      <c r="AG944">
        <v>0</v>
      </c>
      <c r="AH944">
        <v>0</v>
      </c>
      <c r="AI944">
        <v>0</v>
      </c>
      <c r="AJ944">
        <v>0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63.79</v>
      </c>
      <c r="AR944">
        <v>0</v>
      </c>
      <c r="AS944">
        <v>0</v>
      </c>
      <c r="AT944">
        <v>0</v>
      </c>
      <c r="AU944">
        <v>0</v>
      </c>
      <c r="AV944">
        <v>0</v>
      </c>
      <c r="AW944">
        <v>0</v>
      </c>
      <c r="AX944">
        <v>0</v>
      </c>
      <c r="AY944">
        <v>0</v>
      </c>
      <c r="AZ944">
        <v>0</v>
      </c>
      <c r="BA944">
        <v>0</v>
      </c>
      <c r="BB944">
        <v>0</v>
      </c>
      <c r="BC944">
        <v>0</v>
      </c>
      <c r="BD944">
        <v>0</v>
      </c>
      <c r="BE944">
        <v>0</v>
      </c>
      <c r="BF944">
        <v>0</v>
      </c>
      <c r="BG944">
        <v>0</v>
      </c>
      <c r="BH944">
        <v>2</v>
      </c>
      <c r="BI944">
        <v>5</v>
      </c>
      <c r="BJ944">
        <v>3.5</v>
      </c>
      <c r="BK944">
        <v>5</v>
      </c>
      <c r="BL944">
        <v>190.11</v>
      </c>
      <c r="BM944">
        <v>28.52</v>
      </c>
      <c r="BN944">
        <v>218.63</v>
      </c>
      <c r="BO944">
        <v>218.63</v>
      </c>
      <c r="BQ944" t="s">
        <v>103</v>
      </c>
      <c r="BR944" t="s">
        <v>82</v>
      </c>
      <c r="BS944" s="3">
        <v>46000</v>
      </c>
      <c r="BT944" s="4">
        <v>0.35833333333333334</v>
      </c>
      <c r="BU944" t="s">
        <v>104</v>
      </c>
      <c r="BV944" t="s">
        <v>84</v>
      </c>
      <c r="BY944">
        <v>17632</v>
      </c>
      <c r="CA944" t="s">
        <v>107</v>
      </c>
      <c r="CC944" t="s">
        <v>101</v>
      </c>
      <c r="CD944">
        <v>4051</v>
      </c>
      <c r="CE944" t="s">
        <v>86</v>
      </c>
      <c r="CF944" s="3">
        <v>46001</v>
      </c>
      <c r="CI944">
        <v>1</v>
      </c>
      <c r="CJ944">
        <v>1</v>
      </c>
      <c r="CK944">
        <v>21</v>
      </c>
      <c r="CL944" t="s">
        <v>87</v>
      </c>
    </row>
    <row r="945" spans="1:90" x14ac:dyDescent="0.3">
      <c r="A945" t="s">
        <v>72</v>
      </c>
      <c r="B945" t="s">
        <v>73</v>
      </c>
      <c r="C945" t="s">
        <v>74</v>
      </c>
      <c r="E945" t="str">
        <f>"080069749250"</f>
        <v>080069749250</v>
      </c>
      <c r="F945" s="3">
        <v>45999</v>
      </c>
      <c r="G945">
        <v>202609</v>
      </c>
      <c r="H945" t="s">
        <v>75</v>
      </c>
      <c r="I945" t="s">
        <v>76</v>
      </c>
      <c r="J945" t="s">
        <v>77</v>
      </c>
      <c r="K945" t="s">
        <v>78</v>
      </c>
      <c r="L945" t="s">
        <v>272</v>
      </c>
      <c r="M945" t="s">
        <v>273</v>
      </c>
      <c r="N945" t="s">
        <v>274</v>
      </c>
      <c r="O945" t="s">
        <v>89</v>
      </c>
      <c r="P945" t="str">
        <f>"4170072085                    "</f>
        <v xml:space="preserve">4170072085                    </v>
      </c>
      <c r="Q945">
        <v>0</v>
      </c>
      <c r="R945">
        <v>0</v>
      </c>
      <c r="S945">
        <v>0</v>
      </c>
      <c r="T945">
        <v>0</v>
      </c>
      <c r="U945">
        <v>0</v>
      </c>
      <c r="V945">
        <v>0</v>
      </c>
      <c r="W945">
        <v>0</v>
      </c>
      <c r="X945">
        <v>0</v>
      </c>
      <c r="Y945">
        <v>0</v>
      </c>
      <c r="Z945">
        <v>0</v>
      </c>
      <c r="AA945">
        <v>0</v>
      </c>
      <c r="AB945">
        <v>0</v>
      </c>
      <c r="AC945">
        <v>0</v>
      </c>
      <c r="AD945">
        <v>0</v>
      </c>
      <c r="AE945">
        <v>0</v>
      </c>
      <c r="AF945">
        <v>0</v>
      </c>
      <c r="AG945">
        <v>0</v>
      </c>
      <c r="AH945">
        <v>0</v>
      </c>
      <c r="AI945">
        <v>0</v>
      </c>
      <c r="AJ945">
        <v>0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25.52</v>
      </c>
      <c r="AR945">
        <v>0</v>
      </c>
      <c r="AS945">
        <v>0</v>
      </c>
      <c r="AT945">
        <v>0</v>
      </c>
      <c r="AU945">
        <v>0</v>
      </c>
      <c r="AV945">
        <v>0</v>
      </c>
      <c r="AW945">
        <v>0</v>
      </c>
      <c r="AX945">
        <v>0</v>
      </c>
      <c r="AY945">
        <v>0</v>
      </c>
      <c r="AZ945">
        <v>0</v>
      </c>
      <c r="BA945">
        <v>0</v>
      </c>
      <c r="BB945">
        <v>0</v>
      </c>
      <c r="BC945">
        <v>0</v>
      </c>
      <c r="BD945">
        <v>0</v>
      </c>
      <c r="BE945">
        <v>0</v>
      </c>
      <c r="BF945">
        <v>0</v>
      </c>
      <c r="BG945">
        <v>0</v>
      </c>
      <c r="BH945">
        <v>1</v>
      </c>
      <c r="BI945">
        <v>1</v>
      </c>
      <c r="BJ945">
        <v>0.2</v>
      </c>
      <c r="BK945">
        <v>1</v>
      </c>
      <c r="BL945">
        <v>76.06</v>
      </c>
      <c r="BM945">
        <v>11.41</v>
      </c>
      <c r="BN945">
        <v>87.47</v>
      </c>
      <c r="BO945">
        <v>87.47</v>
      </c>
      <c r="BQ945" t="s">
        <v>275</v>
      </c>
      <c r="BR945" t="s">
        <v>82</v>
      </c>
      <c r="BS945" s="3">
        <v>46000</v>
      </c>
      <c r="BT945" s="4">
        <v>0.3840277777777778</v>
      </c>
      <c r="BU945" t="s">
        <v>276</v>
      </c>
      <c r="BV945" t="s">
        <v>84</v>
      </c>
      <c r="BY945">
        <v>1200</v>
      </c>
      <c r="CA945" t="s">
        <v>277</v>
      </c>
      <c r="CC945" t="s">
        <v>273</v>
      </c>
      <c r="CD945">
        <v>6220</v>
      </c>
      <c r="CE945" t="s">
        <v>134</v>
      </c>
      <c r="CF945" s="3">
        <v>46000</v>
      </c>
      <c r="CI945">
        <v>1</v>
      </c>
      <c r="CJ945">
        <v>1</v>
      </c>
      <c r="CK945">
        <v>21</v>
      </c>
      <c r="CL945" t="s">
        <v>87</v>
      </c>
    </row>
    <row r="946" spans="1:90" x14ac:dyDescent="0.3">
      <c r="A946" t="s">
        <v>72</v>
      </c>
      <c r="B946" t="s">
        <v>73</v>
      </c>
      <c r="C946" t="s">
        <v>74</v>
      </c>
      <c r="E946" t="str">
        <f>"080069749349"</f>
        <v>080069749349</v>
      </c>
      <c r="F946" s="3">
        <v>45999</v>
      </c>
      <c r="G946">
        <v>202609</v>
      </c>
      <c r="H946" t="s">
        <v>75</v>
      </c>
      <c r="I946" t="s">
        <v>76</v>
      </c>
      <c r="J946" t="s">
        <v>77</v>
      </c>
      <c r="K946" t="s">
        <v>78</v>
      </c>
      <c r="L946" t="s">
        <v>272</v>
      </c>
      <c r="M946" t="s">
        <v>273</v>
      </c>
      <c r="N946" t="s">
        <v>274</v>
      </c>
      <c r="O946" t="s">
        <v>89</v>
      </c>
      <c r="P946" t="str">
        <f>"4170072181                    "</f>
        <v xml:space="preserve">4170072181                    </v>
      </c>
      <c r="Q946">
        <v>0</v>
      </c>
      <c r="R946">
        <v>0</v>
      </c>
      <c r="S946">
        <v>0</v>
      </c>
      <c r="T946">
        <v>0</v>
      </c>
      <c r="U946">
        <v>0</v>
      </c>
      <c r="V946">
        <v>0</v>
      </c>
      <c r="W946">
        <v>0</v>
      </c>
      <c r="X946">
        <v>0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0</v>
      </c>
      <c r="AE946">
        <v>0</v>
      </c>
      <c r="AF946">
        <v>0</v>
      </c>
      <c r="AG946">
        <v>0</v>
      </c>
      <c r="AH946">
        <v>0</v>
      </c>
      <c r="AI946">
        <v>0</v>
      </c>
      <c r="AJ946">
        <v>0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25.52</v>
      </c>
      <c r="AR946">
        <v>0</v>
      </c>
      <c r="AS946">
        <v>0</v>
      </c>
      <c r="AT946">
        <v>0</v>
      </c>
      <c r="AU946">
        <v>0</v>
      </c>
      <c r="AV946">
        <v>0</v>
      </c>
      <c r="AW946">
        <v>0</v>
      </c>
      <c r="AX946">
        <v>0</v>
      </c>
      <c r="AY946">
        <v>0</v>
      </c>
      <c r="AZ946">
        <v>0</v>
      </c>
      <c r="BA946">
        <v>0</v>
      </c>
      <c r="BB946">
        <v>0</v>
      </c>
      <c r="BC946">
        <v>0</v>
      </c>
      <c r="BD946">
        <v>0</v>
      </c>
      <c r="BE946">
        <v>0</v>
      </c>
      <c r="BF946">
        <v>0</v>
      </c>
      <c r="BG946">
        <v>0</v>
      </c>
      <c r="BH946">
        <v>1</v>
      </c>
      <c r="BI946">
        <v>1</v>
      </c>
      <c r="BJ946">
        <v>1.1000000000000001</v>
      </c>
      <c r="BK946">
        <v>1.5</v>
      </c>
      <c r="BL946">
        <v>76.06</v>
      </c>
      <c r="BM946">
        <v>11.41</v>
      </c>
      <c r="BN946">
        <v>87.47</v>
      </c>
      <c r="BO946">
        <v>87.47</v>
      </c>
      <c r="BQ946" t="s">
        <v>275</v>
      </c>
      <c r="BR946" t="s">
        <v>82</v>
      </c>
      <c r="BS946" s="3">
        <v>46000</v>
      </c>
      <c r="BT946" s="4">
        <v>0.3840277777777778</v>
      </c>
      <c r="BU946" t="s">
        <v>276</v>
      </c>
      <c r="BV946" t="s">
        <v>84</v>
      </c>
      <c r="BY946">
        <v>5510</v>
      </c>
      <c r="CA946" t="s">
        <v>277</v>
      </c>
      <c r="CC946" t="s">
        <v>273</v>
      </c>
      <c r="CD946">
        <v>6220</v>
      </c>
      <c r="CE946" t="s">
        <v>86</v>
      </c>
      <c r="CF946" s="3">
        <v>46000</v>
      </c>
      <c r="CI946">
        <v>1</v>
      </c>
      <c r="CJ946">
        <v>1</v>
      </c>
      <c r="CK946">
        <v>21</v>
      </c>
      <c r="CL946" t="s">
        <v>87</v>
      </c>
    </row>
    <row r="947" spans="1:90" x14ac:dyDescent="0.3">
      <c r="A947" t="s">
        <v>72</v>
      </c>
      <c r="B947" t="s">
        <v>73</v>
      </c>
      <c r="C947" t="s">
        <v>74</v>
      </c>
      <c r="E947" t="str">
        <f>"080069749408"</f>
        <v>080069749408</v>
      </c>
      <c r="F947" s="3">
        <v>45999</v>
      </c>
      <c r="G947">
        <v>202609</v>
      </c>
      <c r="H947" t="s">
        <v>75</v>
      </c>
      <c r="I947" t="s">
        <v>76</v>
      </c>
      <c r="J947" t="s">
        <v>77</v>
      </c>
      <c r="K947" t="s">
        <v>78</v>
      </c>
      <c r="L947" t="s">
        <v>295</v>
      </c>
      <c r="M947" t="s">
        <v>296</v>
      </c>
      <c r="N947" t="s">
        <v>1047</v>
      </c>
      <c r="O947" t="s">
        <v>89</v>
      </c>
      <c r="P947" t="str">
        <f>"4170072238                    "</f>
        <v xml:space="preserve">4170072238                    </v>
      </c>
      <c r="Q947">
        <v>0</v>
      </c>
      <c r="R947">
        <v>0</v>
      </c>
      <c r="S947">
        <v>0</v>
      </c>
      <c r="T947">
        <v>0</v>
      </c>
      <c r="U947">
        <v>0</v>
      </c>
      <c r="V947">
        <v>0</v>
      </c>
      <c r="W947">
        <v>0</v>
      </c>
      <c r="X947">
        <v>0</v>
      </c>
      <c r="Y947">
        <v>0</v>
      </c>
      <c r="Z947">
        <v>0</v>
      </c>
      <c r="AA947">
        <v>0</v>
      </c>
      <c r="AB947">
        <v>0</v>
      </c>
      <c r="AC947">
        <v>0</v>
      </c>
      <c r="AD947">
        <v>0</v>
      </c>
      <c r="AE947">
        <v>0</v>
      </c>
      <c r="AF947">
        <v>0</v>
      </c>
      <c r="AG947">
        <v>0</v>
      </c>
      <c r="AH947">
        <v>0</v>
      </c>
      <c r="AI947">
        <v>0</v>
      </c>
      <c r="AJ947">
        <v>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19.940000000000001</v>
      </c>
      <c r="AR947">
        <v>0</v>
      </c>
      <c r="AS947">
        <v>0</v>
      </c>
      <c r="AT947">
        <v>0</v>
      </c>
      <c r="AU947">
        <v>0</v>
      </c>
      <c r="AV947">
        <v>0</v>
      </c>
      <c r="AW947">
        <v>0</v>
      </c>
      <c r="AX947">
        <v>0</v>
      </c>
      <c r="AY947">
        <v>0</v>
      </c>
      <c r="AZ947">
        <v>0</v>
      </c>
      <c r="BA947">
        <v>0</v>
      </c>
      <c r="BB947">
        <v>0</v>
      </c>
      <c r="BC947">
        <v>0</v>
      </c>
      <c r="BD947">
        <v>0</v>
      </c>
      <c r="BE947">
        <v>0</v>
      </c>
      <c r="BF947">
        <v>0</v>
      </c>
      <c r="BG947">
        <v>0</v>
      </c>
      <c r="BH947">
        <v>1</v>
      </c>
      <c r="BI947">
        <v>1</v>
      </c>
      <c r="BJ947">
        <v>1.1000000000000001</v>
      </c>
      <c r="BK947">
        <v>2</v>
      </c>
      <c r="BL947">
        <v>59.42</v>
      </c>
      <c r="BM947">
        <v>8.91</v>
      </c>
      <c r="BN947">
        <v>68.33</v>
      </c>
      <c r="BO947">
        <v>68.33</v>
      </c>
      <c r="BQ947" t="s">
        <v>1048</v>
      </c>
      <c r="BR947" t="s">
        <v>82</v>
      </c>
      <c r="BS947" s="3">
        <v>46000</v>
      </c>
      <c r="BT947" s="4">
        <v>0.39374999999999999</v>
      </c>
      <c r="BU947" t="s">
        <v>1712</v>
      </c>
      <c r="BV947" t="s">
        <v>84</v>
      </c>
      <c r="BY947">
        <v>5510</v>
      </c>
      <c r="CA947" t="s">
        <v>1713</v>
      </c>
      <c r="CC947" t="s">
        <v>296</v>
      </c>
      <c r="CD947">
        <v>1508</v>
      </c>
      <c r="CE947" t="s">
        <v>86</v>
      </c>
      <c r="CF947" s="3">
        <v>46001</v>
      </c>
      <c r="CI947">
        <v>1</v>
      </c>
      <c r="CJ947">
        <v>1</v>
      </c>
      <c r="CK947">
        <v>22</v>
      </c>
      <c r="CL947" t="s">
        <v>87</v>
      </c>
    </row>
    <row r="948" spans="1:90" x14ac:dyDescent="0.3">
      <c r="A948" t="s">
        <v>72</v>
      </c>
      <c r="B948" t="s">
        <v>73</v>
      </c>
      <c r="C948" t="s">
        <v>74</v>
      </c>
      <c r="E948" t="str">
        <f>"080069749672"</f>
        <v>080069749672</v>
      </c>
      <c r="F948" s="3">
        <v>45999</v>
      </c>
      <c r="G948">
        <v>202609</v>
      </c>
      <c r="H948" t="s">
        <v>75</v>
      </c>
      <c r="I948" t="s">
        <v>76</v>
      </c>
      <c r="J948" t="s">
        <v>77</v>
      </c>
      <c r="K948" t="s">
        <v>78</v>
      </c>
      <c r="L948" t="s">
        <v>141</v>
      </c>
      <c r="M948" t="s">
        <v>142</v>
      </c>
      <c r="N948" t="s">
        <v>1714</v>
      </c>
      <c r="O948" t="s">
        <v>89</v>
      </c>
      <c r="P948" t="str">
        <f>"4170072263                    "</f>
        <v xml:space="preserve">4170072263                    </v>
      </c>
      <c r="Q948">
        <v>0</v>
      </c>
      <c r="R948">
        <v>0</v>
      </c>
      <c r="S948">
        <v>0</v>
      </c>
      <c r="T948">
        <v>0</v>
      </c>
      <c r="U948">
        <v>0</v>
      </c>
      <c r="V948">
        <v>0</v>
      </c>
      <c r="W948">
        <v>0</v>
      </c>
      <c r="X948">
        <v>0</v>
      </c>
      <c r="Y948">
        <v>0</v>
      </c>
      <c r="Z948">
        <v>0</v>
      </c>
      <c r="AA948">
        <v>0</v>
      </c>
      <c r="AB948">
        <v>0</v>
      </c>
      <c r="AC948">
        <v>0</v>
      </c>
      <c r="AD948">
        <v>0</v>
      </c>
      <c r="AE948">
        <v>0</v>
      </c>
      <c r="AF948">
        <v>0</v>
      </c>
      <c r="AG948">
        <v>0</v>
      </c>
      <c r="AH948">
        <v>0</v>
      </c>
      <c r="AI948">
        <v>0</v>
      </c>
      <c r="AJ948">
        <v>0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25.52</v>
      </c>
      <c r="AR948">
        <v>0</v>
      </c>
      <c r="AS948">
        <v>0</v>
      </c>
      <c r="AT948">
        <v>0</v>
      </c>
      <c r="AU948">
        <v>0</v>
      </c>
      <c r="AV948">
        <v>0</v>
      </c>
      <c r="AW948">
        <v>0</v>
      </c>
      <c r="AX948">
        <v>0</v>
      </c>
      <c r="AY948">
        <v>0</v>
      </c>
      <c r="AZ948">
        <v>0</v>
      </c>
      <c r="BA948">
        <v>0</v>
      </c>
      <c r="BB948">
        <v>0</v>
      </c>
      <c r="BC948">
        <v>0</v>
      </c>
      <c r="BD948">
        <v>0</v>
      </c>
      <c r="BE948">
        <v>0</v>
      </c>
      <c r="BF948">
        <v>0</v>
      </c>
      <c r="BG948">
        <v>0</v>
      </c>
      <c r="BH948">
        <v>1</v>
      </c>
      <c r="BI948">
        <v>1</v>
      </c>
      <c r="BJ948">
        <v>0.2</v>
      </c>
      <c r="BK948">
        <v>1</v>
      </c>
      <c r="BL948">
        <v>76.06</v>
      </c>
      <c r="BM948">
        <v>11.41</v>
      </c>
      <c r="BN948">
        <v>87.47</v>
      </c>
      <c r="BO948">
        <v>87.47</v>
      </c>
      <c r="BQ948" t="s">
        <v>1715</v>
      </c>
      <c r="BR948" t="s">
        <v>82</v>
      </c>
      <c r="BS948" s="3">
        <v>46000</v>
      </c>
      <c r="BT948" s="4">
        <v>0.3888888888888889</v>
      </c>
      <c r="BU948" t="s">
        <v>1716</v>
      </c>
      <c r="BV948" t="s">
        <v>84</v>
      </c>
      <c r="BY948">
        <v>1200</v>
      </c>
      <c r="CA948" t="s">
        <v>1228</v>
      </c>
      <c r="CC948" t="s">
        <v>142</v>
      </c>
      <c r="CD948">
        <v>6001</v>
      </c>
      <c r="CE948" t="s">
        <v>134</v>
      </c>
      <c r="CF948" s="3">
        <v>46000</v>
      </c>
      <c r="CI948">
        <v>1</v>
      </c>
      <c r="CJ948">
        <v>1</v>
      </c>
      <c r="CK948">
        <v>21</v>
      </c>
      <c r="CL948" t="s">
        <v>87</v>
      </c>
    </row>
    <row r="949" spans="1:90" x14ac:dyDescent="0.3">
      <c r="A949" t="s">
        <v>72</v>
      </c>
      <c r="B949" t="s">
        <v>73</v>
      </c>
      <c r="C949" t="s">
        <v>74</v>
      </c>
      <c r="E949" t="str">
        <f>"080069749709"</f>
        <v>080069749709</v>
      </c>
      <c r="F949" s="3">
        <v>45999</v>
      </c>
      <c r="G949">
        <v>202609</v>
      </c>
      <c r="H949" t="s">
        <v>75</v>
      </c>
      <c r="I949" t="s">
        <v>76</v>
      </c>
      <c r="J949" t="s">
        <v>77</v>
      </c>
      <c r="K949" t="s">
        <v>78</v>
      </c>
      <c r="L949" t="s">
        <v>189</v>
      </c>
      <c r="M949" t="s">
        <v>190</v>
      </c>
      <c r="N949" t="s">
        <v>1717</v>
      </c>
      <c r="O949" t="s">
        <v>89</v>
      </c>
      <c r="P949" t="str">
        <f>"4170072303                    "</f>
        <v xml:space="preserve">4170072303                    </v>
      </c>
      <c r="Q949">
        <v>0</v>
      </c>
      <c r="R949">
        <v>0</v>
      </c>
      <c r="S949">
        <v>0</v>
      </c>
      <c r="T949">
        <v>0</v>
      </c>
      <c r="U949">
        <v>0</v>
      </c>
      <c r="V949">
        <v>0</v>
      </c>
      <c r="W949">
        <v>0</v>
      </c>
      <c r="X949">
        <v>0</v>
      </c>
      <c r="Y949">
        <v>0</v>
      </c>
      <c r="Z949">
        <v>0</v>
      </c>
      <c r="AA949">
        <v>0</v>
      </c>
      <c r="AB949">
        <v>0</v>
      </c>
      <c r="AC949">
        <v>0</v>
      </c>
      <c r="AD949">
        <v>0</v>
      </c>
      <c r="AE949">
        <v>0</v>
      </c>
      <c r="AF949">
        <v>0</v>
      </c>
      <c r="AG949">
        <v>0</v>
      </c>
      <c r="AH949">
        <v>0</v>
      </c>
      <c r="AI949">
        <v>0</v>
      </c>
      <c r="AJ949">
        <v>0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25.52</v>
      </c>
      <c r="AR949">
        <v>0</v>
      </c>
      <c r="AS949">
        <v>0</v>
      </c>
      <c r="AT949">
        <v>0</v>
      </c>
      <c r="AU949">
        <v>0</v>
      </c>
      <c r="AV949">
        <v>0</v>
      </c>
      <c r="AW949">
        <v>17.41</v>
      </c>
      <c r="AX949">
        <v>0</v>
      </c>
      <c r="AY949">
        <v>0</v>
      </c>
      <c r="AZ949">
        <v>0</v>
      </c>
      <c r="BA949">
        <v>0</v>
      </c>
      <c r="BB949">
        <v>0</v>
      </c>
      <c r="BC949">
        <v>0</v>
      </c>
      <c r="BD949">
        <v>0</v>
      </c>
      <c r="BE949">
        <v>0</v>
      </c>
      <c r="BF949">
        <v>0</v>
      </c>
      <c r="BG949">
        <v>0</v>
      </c>
      <c r="BH949">
        <v>1</v>
      </c>
      <c r="BI949">
        <v>1</v>
      </c>
      <c r="BJ949">
        <v>0.2</v>
      </c>
      <c r="BK949">
        <v>1</v>
      </c>
      <c r="BL949">
        <v>93.47</v>
      </c>
      <c r="BM949">
        <v>14.02</v>
      </c>
      <c r="BN949">
        <v>107.49</v>
      </c>
      <c r="BO949">
        <v>107.49</v>
      </c>
      <c r="BQ949" t="s">
        <v>1718</v>
      </c>
      <c r="BR949" t="s">
        <v>82</v>
      </c>
      <c r="BS949" s="3">
        <v>46000</v>
      </c>
      <c r="BT949" s="4">
        <v>0.61458333333333337</v>
      </c>
      <c r="BU949" t="s">
        <v>1719</v>
      </c>
      <c r="BV949" t="s">
        <v>84</v>
      </c>
      <c r="BY949">
        <v>1200</v>
      </c>
      <c r="BZ949" t="s">
        <v>30</v>
      </c>
      <c r="CC949" t="s">
        <v>190</v>
      </c>
      <c r="CD949">
        <v>3699</v>
      </c>
      <c r="CE949" t="s">
        <v>134</v>
      </c>
      <c r="CF949" s="3">
        <v>46000</v>
      </c>
      <c r="CI949">
        <v>1</v>
      </c>
      <c r="CJ949">
        <v>1</v>
      </c>
      <c r="CK949">
        <v>21</v>
      </c>
      <c r="CL949" t="s">
        <v>87</v>
      </c>
    </row>
    <row r="950" spans="1:90" x14ac:dyDescent="0.3">
      <c r="A950" t="s">
        <v>72</v>
      </c>
      <c r="B950" t="s">
        <v>73</v>
      </c>
      <c r="C950" t="s">
        <v>74</v>
      </c>
      <c r="E950" t="str">
        <f>"080069749714"</f>
        <v>080069749714</v>
      </c>
      <c r="F950" s="3">
        <v>45999</v>
      </c>
      <c r="G950">
        <v>202609</v>
      </c>
      <c r="H950" t="s">
        <v>75</v>
      </c>
      <c r="I950" t="s">
        <v>76</v>
      </c>
      <c r="J950" t="s">
        <v>77</v>
      </c>
      <c r="K950" t="s">
        <v>78</v>
      </c>
      <c r="L950" t="s">
        <v>156</v>
      </c>
      <c r="M950" t="s">
        <v>157</v>
      </c>
      <c r="N950" t="s">
        <v>1720</v>
      </c>
      <c r="O950" t="s">
        <v>89</v>
      </c>
      <c r="P950" t="str">
        <f>"4170072387                    "</f>
        <v xml:space="preserve">4170072387                    </v>
      </c>
      <c r="Q950">
        <v>0</v>
      </c>
      <c r="R950">
        <v>0</v>
      </c>
      <c r="S950">
        <v>0</v>
      </c>
      <c r="T950">
        <v>0</v>
      </c>
      <c r="U950">
        <v>0</v>
      </c>
      <c r="V950">
        <v>0</v>
      </c>
      <c r="W950">
        <v>0</v>
      </c>
      <c r="X950">
        <v>0</v>
      </c>
      <c r="Y950">
        <v>0</v>
      </c>
      <c r="Z950">
        <v>0</v>
      </c>
      <c r="AA950">
        <v>0</v>
      </c>
      <c r="AB950">
        <v>0</v>
      </c>
      <c r="AC950">
        <v>0</v>
      </c>
      <c r="AD950">
        <v>0</v>
      </c>
      <c r="AE950">
        <v>0</v>
      </c>
      <c r="AF950">
        <v>0</v>
      </c>
      <c r="AG950">
        <v>0</v>
      </c>
      <c r="AH950">
        <v>0</v>
      </c>
      <c r="AI950">
        <v>0</v>
      </c>
      <c r="AJ950">
        <v>0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25.52</v>
      </c>
      <c r="AR950">
        <v>0</v>
      </c>
      <c r="AS950">
        <v>0</v>
      </c>
      <c r="AT950">
        <v>0</v>
      </c>
      <c r="AU950">
        <v>0</v>
      </c>
      <c r="AV950">
        <v>0</v>
      </c>
      <c r="AW950">
        <v>0</v>
      </c>
      <c r="AX950">
        <v>0</v>
      </c>
      <c r="AY950">
        <v>0</v>
      </c>
      <c r="AZ950">
        <v>0</v>
      </c>
      <c r="BA950">
        <v>0</v>
      </c>
      <c r="BB950">
        <v>0</v>
      </c>
      <c r="BC950">
        <v>0</v>
      </c>
      <c r="BD950">
        <v>0</v>
      </c>
      <c r="BE950">
        <v>0</v>
      </c>
      <c r="BF950">
        <v>0</v>
      </c>
      <c r="BG950">
        <v>0</v>
      </c>
      <c r="BH950">
        <v>1</v>
      </c>
      <c r="BI950">
        <v>2</v>
      </c>
      <c r="BJ950">
        <v>1.7</v>
      </c>
      <c r="BK950">
        <v>2</v>
      </c>
      <c r="BL950">
        <v>76.06</v>
      </c>
      <c r="BM950">
        <v>11.41</v>
      </c>
      <c r="BN950">
        <v>87.47</v>
      </c>
      <c r="BO950">
        <v>87.47</v>
      </c>
      <c r="BQ950" t="s">
        <v>1721</v>
      </c>
      <c r="BR950" t="s">
        <v>82</v>
      </c>
      <c r="BS950" s="3">
        <v>46000</v>
      </c>
      <c r="BT950" s="4">
        <v>0.43402777777777779</v>
      </c>
      <c r="BU950" t="s">
        <v>1722</v>
      </c>
      <c r="BV950" t="s">
        <v>84</v>
      </c>
      <c r="BY950">
        <v>8550</v>
      </c>
      <c r="CA950" t="s">
        <v>1723</v>
      </c>
      <c r="CC950" t="s">
        <v>157</v>
      </c>
      <c r="CD950">
        <v>7925</v>
      </c>
      <c r="CE950" t="s">
        <v>86</v>
      </c>
      <c r="CF950" s="3">
        <v>46001</v>
      </c>
      <c r="CI950">
        <v>1</v>
      </c>
      <c r="CJ950">
        <v>1</v>
      </c>
      <c r="CK950">
        <v>21</v>
      </c>
      <c r="CL950" t="s">
        <v>87</v>
      </c>
    </row>
    <row r="951" spans="1:90" x14ac:dyDescent="0.3">
      <c r="A951" t="s">
        <v>72</v>
      </c>
      <c r="B951" t="s">
        <v>73</v>
      </c>
      <c r="C951" t="s">
        <v>74</v>
      </c>
      <c r="E951" t="str">
        <f>"080069749743"</f>
        <v>080069749743</v>
      </c>
      <c r="F951" s="3">
        <v>45999</v>
      </c>
      <c r="G951">
        <v>202609</v>
      </c>
      <c r="H951" t="s">
        <v>75</v>
      </c>
      <c r="I951" t="s">
        <v>76</v>
      </c>
      <c r="J951" t="s">
        <v>77</v>
      </c>
      <c r="K951" t="s">
        <v>78</v>
      </c>
      <c r="L951" t="s">
        <v>389</v>
      </c>
      <c r="M951" t="s">
        <v>390</v>
      </c>
      <c r="N951" t="s">
        <v>581</v>
      </c>
      <c r="O951" t="s">
        <v>89</v>
      </c>
      <c r="P951" t="str">
        <f>"4170072330                    "</f>
        <v xml:space="preserve">4170072330                    </v>
      </c>
      <c r="Q951">
        <v>0</v>
      </c>
      <c r="R951">
        <v>0</v>
      </c>
      <c r="S951">
        <v>0</v>
      </c>
      <c r="T951">
        <v>0</v>
      </c>
      <c r="U951">
        <v>0</v>
      </c>
      <c r="V951">
        <v>0</v>
      </c>
      <c r="W951">
        <v>0</v>
      </c>
      <c r="X951">
        <v>0</v>
      </c>
      <c r="Y951">
        <v>0</v>
      </c>
      <c r="Z951">
        <v>0</v>
      </c>
      <c r="AA951">
        <v>0</v>
      </c>
      <c r="AB951">
        <v>0</v>
      </c>
      <c r="AC951">
        <v>0</v>
      </c>
      <c r="AD951">
        <v>0</v>
      </c>
      <c r="AE951">
        <v>0</v>
      </c>
      <c r="AF951">
        <v>0</v>
      </c>
      <c r="AG951">
        <v>0</v>
      </c>
      <c r="AH951">
        <v>0</v>
      </c>
      <c r="AI951">
        <v>0</v>
      </c>
      <c r="AJ951">
        <v>0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49.45</v>
      </c>
      <c r="AR951">
        <v>0</v>
      </c>
      <c r="AS951">
        <v>0</v>
      </c>
      <c r="AT951">
        <v>0</v>
      </c>
      <c r="AU951">
        <v>0</v>
      </c>
      <c r="AV951">
        <v>0</v>
      </c>
      <c r="AW951">
        <v>0</v>
      </c>
      <c r="AX951">
        <v>0</v>
      </c>
      <c r="AY951">
        <v>0</v>
      </c>
      <c r="AZ951">
        <v>0</v>
      </c>
      <c r="BA951">
        <v>0</v>
      </c>
      <c r="BB951">
        <v>0</v>
      </c>
      <c r="BC951">
        <v>0</v>
      </c>
      <c r="BD951">
        <v>0</v>
      </c>
      <c r="BE951">
        <v>0</v>
      </c>
      <c r="BF951">
        <v>0</v>
      </c>
      <c r="BG951">
        <v>0</v>
      </c>
      <c r="BH951">
        <v>1</v>
      </c>
      <c r="BI951">
        <v>1</v>
      </c>
      <c r="BJ951">
        <v>0.2</v>
      </c>
      <c r="BK951">
        <v>1</v>
      </c>
      <c r="BL951">
        <v>147.38</v>
      </c>
      <c r="BM951">
        <v>22.11</v>
      </c>
      <c r="BN951">
        <v>169.49</v>
      </c>
      <c r="BO951">
        <v>169.49</v>
      </c>
      <c r="BQ951" t="s">
        <v>582</v>
      </c>
      <c r="BR951" t="s">
        <v>82</v>
      </c>
      <c r="BS951" s="3">
        <v>46000</v>
      </c>
      <c r="BT951" s="4">
        <v>0.4236111111111111</v>
      </c>
      <c r="BU951" t="s">
        <v>1724</v>
      </c>
      <c r="BV951" t="s">
        <v>84</v>
      </c>
      <c r="BY951">
        <v>1200</v>
      </c>
      <c r="CA951">
        <v>7601035402088</v>
      </c>
      <c r="CC951" t="s">
        <v>390</v>
      </c>
      <c r="CD951" s="5" t="s">
        <v>395</v>
      </c>
      <c r="CE951" t="s">
        <v>134</v>
      </c>
      <c r="CF951" s="3">
        <v>46002</v>
      </c>
      <c r="CI951">
        <v>1</v>
      </c>
      <c r="CJ951">
        <v>1</v>
      </c>
      <c r="CK951">
        <v>23</v>
      </c>
      <c r="CL951" t="s">
        <v>87</v>
      </c>
    </row>
    <row r="952" spans="1:90" x14ac:dyDescent="0.3">
      <c r="A952" t="s">
        <v>72</v>
      </c>
      <c r="B952" t="s">
        <v>73</v>
      </c>
      <c r="C952" t="s">
        <v>74</v>
      </c>
      <c r="E952" t="str">
        <f>"080069749774"</f>
        <v>080069749774</v>
      </c>
      <c r="F952" s="3">
        <v>45999</v>
      </c>
      <c r="G952">
        <v>202609</v>
      </c>
      <c r="H952" t="s">
        <v>75</v>
      </c>
      <c r="I952" t="s">
        <v>76</v>
      </c>
      <c r="J952" t="s">
        <v>77</v>
      </c>
      <c r="K952" t="s">
        <v>78</v>
      </c>
      <c r="L952" t="s">
        <v>128</v>
      </c>
      <c r="M952" t="s">
        <v>129</v>
      </c>
      <c r="N952" t="s">
        <v>383</v>
      </c>
      <c r="O952" t="s">
        <v>89</v>
      </c>
      <c r="P952" t="str">
        <f>"4170072236                    "</f>
        <v xml:space="preserve">4170072236                    </v>
      </c>
      <c r="Q952">
        <v>0</v>
      </c>
      <c r="R952">
        <v>0</v>
      </c>
      <c r="S952">
        <v>0</v>
      </c>
      <c r="T952">
        <v>0</v>
      </c>
      <c r="U952">
        <v>0</v>
      </c>
      <c r="V952">
        <v>0</v>
      </c>
      <c r="W952">
        <v>0</v>
      </c>
      <c r="X952">
        <v>0</v>
      </c>
      <c r="Y952">
        <v>0</v>
      </c>
      <c r="Z952">
        <v>0</v>
      </c>
      <c r="AA952">
        <v>0</v>
      </c>
      <c r="AB952">
        <v>0</v>
      </c>
      <c r="AC952">
        <v>0</v>
      </c>
      <c r="AD952">
        <v>0</v>
      </c>
      <c r="AE952">
        <v>0</v>
      </c>
      <c r="AF952">
        <v>0</v>
      </c>
      <c r="AG952">
        <v>0</v>
      </c>
      <c r="AH952">
        <v>0</v>
      </c>
      <c r="AI952">
        <v>0</v>
      </c>
      <c r="AJ952">
        <v>0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165.84</v>
      </c>
      <c r="AR952">
        <v>0</v>
      </c>
      <c r="AS952">
        <v>0</v>
      </c>
      <c r="AT952">
        <v>0</v>
      </c>
      <c r="AU952">
        <v>0</v>
      </c>
      <c r="AV952">
        <v>0</v>
      </c>
      <c r="AW952">
        <v>0</v>
      </c>
      <c r="AX952">
        <v>0</v>
      </c>
      <c r="AY952">
        <v>0</v>
      </c>
      <c r="AZ952">
        <v>0</v>
      </c>
      <c r="BA952">
        <v>0</v>
      </c>
      <c r="BB952">
        <v>0</v>
      </c>
      <c r="BC952">
        <v>0</v>
      </c>
      <c r="BD952">
        <v>0</v>
      </c>
      <c r="BE952">
        <v>0</v>
      </c>
      <c r="BF952">
        <v>0</v>
      </c>
      <c r="BG952">
        <v>0</v>
      </c>
      <c r="BH952">
        <v>1</v>
      </c>
      <c r="BI952">
        <v>13</v>
      </c>
      <c r="BJ952">
        <v>6.7</v>
      </c>
      <c r="BK952">
        <v>13</v>
      </c>
      <c r="BL952">
        <v>494.24</v>
      </c>
      <c r="BM952">
        <v>74.14</v>
      </c>
      <c r="BN952">
        <v>568.38</v>
      </c>
      <c r="BO952">
        <v>568.38</v>
      </c>
      <c r="BQ952" t="s">
        <v>384</v>
      </c>
      <c r="BR952" t="s">
        <v>82</v>
      </c>
      <c r="BS952" s="3">
        <v>46001</v>
      </c>
      <c r="BT952" s="4">
        <v>0.52083333333333337</v>
      </c>
      <c r="BU952" t="s">
        <v>1691</v>
      </c>
      <c r="BV952" t="s">
        <v>87</v>
      </c>
      <c r="BW952" t="s">
        <v>186</v>
      </c>
      <c r="BX952" t="s">
        <v>187</v>
      </c>
      <c r="BY952">
        <v>33600</v>
      </c>
      <c r="CA952" t="s">
        <v>1692</v>
      </c>
      <c r="CC952" t="s">
        <v>129</v>
      </c>
      <c r="CD952">
        <v>5201</v>
      </c>
      <c r="CE952" t="s">
        <v>86</v>
      </c>
      <c r="CF952" s="3">
        <v>46002</v>
      </c>
      <c r="CI952">
        <v>1</v>
      </c>
      <c r="CJ952">
        <v>2</v>
      </c>
      <c r="CK952">
        <v>21</v>
      </c>
      <c r="CL952" t="s">
        <v>87</v>
      </c>
    </row>
    <row r="953" spans="1:90" x14ac:dyDescent="0.3">
      <c r="A953" t="s">
        <v>72</v>
      </c>
      <c r="B953" t="s">
        <v>73</v>
      </c>
      <c r="C953" t="s">
        <v>74</v>
      </c>
      <c r="E953" t="str">
        <f>"080069749789"</f>
        <v>080069749789</v>
      </c>
      <c r="F953" s="3">
        <v>45999</v>
      </c>
      <c r="G953">
        <v>202609</v>
      </c>
      <c r="H953" t="s">
        <v>75</v>
      </c>
      <c r="I953" t="s">
        <v>76</v>
      </c>
      <c r="J953" t="s">
        <v>77</v>
      </c>
      <c r="K953" t="s">
        <v>78</v>
      </c>
      <c r="L953" t="s">
        <v>94</v>
      </c>
      <c r="M953" t="s">
        <v>95</v>
      </c>
      <c r="N953" t="s">
        <v>1188</v>
      </c>
      <c r="O953" t="s">
        <v>89</v>
      </c>
      <c r="P953" t="str">
        <f>"4170072256                    "</f>
        <v xml:space="preserve">4170072256                    </v>
      </c>
      <c r="Q953">
        <v>0</v>
      </c>
      <c r="R953">
        <v>0</v>
      </c>
      <c r="S953">
        <v>0</v>
      </c>
      <c r="T953">
        <v>0</v>
      </c>
      <c r="U953">
        <v>0</v>
      </c>
      <c r="V953">
        <v>0</v>
      </c>
      <c r="W953">
        <v>0</v>
      </c>
      <c r="X953">
        <v>0</v>
      </c>
      <c r="Y953">
        <v>0</v>
      </c>
      <c r="Z953">
        <v>0</v>
      </c>
      <c r="AA953">
        <v>0</v>
      </c>
      <c r="AB953">
        <v>0</v>
      </c>
      <c r="AC953">
        <v>0</v>
      </c>
      <c r="AD953">
        <v>0</v>
      </c>
      <c r="AE953">
        <v>0</v>
      </c>
      <c r="AF953">
        <v>0</v>
      </c>
      <c r="AG953">
        <v>0</v>
      </c>
      <c r="AH953">
        <v>0</v>
      </c>
      <c r="AI953">
        <v>0</v>
      </c>
      <c r="AJ953">
        <v>0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25.52</v>
      </c>
      <c r="AR953">
        <v>0</v>
      </c>
      <c r="AS953">
        <v>0</v>
      </c>
      <c r="AT953">
        <v>0</v>
      </c>
      <c r="AU953">
        <v>0</v>
      </c>
      <c r="AV953">
        <v>0</v>
      </c>
      <c r="AW953">
        <v>0</v>
      </c>
      <c r="AX953">
        <v>0</v>
      </c>
      <c r="AY953">
        <v>0</v>
      </c>
      <c r="AZ953">
        <v>0</v>
      </c>
      <c r="BA953">
        <v>0</v>
      </c>
      <c r="BB953">
        <v>0</v>
      </c>
      <c r="BC953">
        <v>0</v>
      </c>
      <c r="BD953">
        <v>0</v>
      </c>
      <c r="BE953">
        <v>0</v>
      </c>
      <c r="BF953">
        <v>0</v>
      </c>
      <c r="BG953">
        <v>0</v>
      </c>
      <c r="BH953">
        <v>1</v>
      </c>
      <c r="BI953">
        <v>1</v>
      </c>
      <c r="BJ953">
        <v>0.2</v>
      </c>
      <c r="BK953">
        <v>1</v>
      </c>
      <c r="BL953">
        <v>76.06</v>
      </c>
      <c r="BM953">
        <v>11.41</v>
      </c>
      <c r="BN953">
        <v>87.47</v>
      </c>
      <c r="BO953">
        <v>87.47</v>
      </c>
      <c r="BQ953" t="s">
        <v>1189</v>
      </c>
      <c r="BR953" t="s">
        <v>82</v>
      </c>
      <c r="BS953" s="3">
        <v>46000</v>
      </c>
      <c r="BT953" s="4">
        <v>0.41666666666666669</v>
      </c>
      <c r="BU953" t="s">
        <v>1725</v>
      </c>
      <c r="BV953" t="s">
        <v>84</v>
      </c>
      <c r="BY953">
        <v>1200</v>
      </c>
      <c r="CC953" t="s">
        <v>95</v>
      </c>
      <c r="CD953">
        <v>3610</v>
      </c>
      <c r="CE953" t="s">
        <v>134</v>
      </c>
      <c r="CF953" s="3">
        <v>46000</v>
      </c>
      <c r="CI953">
        <v>1</v>
      </c>
      <c r="CJ953">
        <v>1</v>
      </c>
      <c r="CK953">
        <v>21</v>
      </c>
      <c r="CL953" t="s">
        <v>87</v>
      </c>
    </row>
    <row r="954" spans="1:90" x14ac:dyDescent="0.3">
      <c r="A954" t="s">
        <v>72</v>
      </c>
      <c r="B954" t="s">
        <v>73</v>
      </c>
      <c r="C954" t="s">
        <v>74</v>
      </c>
      <c r="E954" t="str">
        <f>"080069749834"</f>
        <v>080069749834</v>
      </c>
      <c r="F954" s="3">
        <v>45999</v>
      </c>
      <c r="G954">
        <v>202609</v>
      </c>
      <c r="H954" t="s">
        <v>75</v>
      </c>
      <c r="I954" t="s">
        <v>76</v>
      </c>
      <c r="J954" t="s">
        <v>77</v>
      </c>
      <c r="K954" t="s">
        <v>78</v>
      </c>
      <c r="L954" t="s">
        <v>781</v>
      </c>
      <c r="M954" t="s">
        <v>782</v>
      </c>
      <c r="N954" t="s">
        <v>887</v>
      </c>
      <c r="O954" t="s">
        <v>89</v>
      </c>
      <c r="P954" t="str">
        <f>"4170072306                    "</f>
        <v xml:space="preserve">4170072306                    </v>
      </c>
      <c r="Q954">
        <v>0</v>
      </c>
      <c r="R954">
        <v>0</v>
      </c>
      <c r="S954">
        <v>0</v>
      </c>
      <c r="T954">
        <v>0</v>
      </c>
      <c r="U954">
        <v>0</v>
      </c>
      <c r="V954">
        <v>0</v>
      </c>
      <c r="W954">
        <v>0</v>
      </c>
      <c r="X954">
        <v>0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0</v>
      </c>
      <c r="AE954">
        <v>0</v>
      </c>
      <c r="AF954">
        <v>0</v>
      </c>
      <c r="AG954">
        <v>0</v>
      </c>
      <c r="AH954">
        <v>0</v>
      </c>
      <c r="AI954">
        <v>0</v>
      </c>
      <c r="AJ954">
        <v>0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25.52</v>
      </c>
      <c r="AR954">
        <v>0</v>
      </c>
      <c r="AS954">
        <v>0</v>
      </c>
      <c r="AT954">
        <v>0</v>
      </c>
      <c r="AU954">
        <v>0</v>
      </c>
      <c r="AV954">
        <v>0</v>
      </c>
      <c r="AW954">
        <v>0</v>
      </c>
      <c r="AX954">
        <v>0</v>
      </c>
      <c r="AY954">
        <v>0</v>
      </c>
      <c r="AZ954">
        <v>0</v>
      </c>
      <c r="BA954">
        <v>0</v>
      </c>
      <c r="BB954">
        <v>0</v>
      </c>
      <c r="BC954">
        <v>0</v>
      </c>
      <c r="BD954">
        <v>0</v>
      </c>
      <c r="BE954">
        <v>0</v>
      </c>
      <c r="BF954">
        <v>0</v>
      </c>
      <c r="BG954">
        <v>0</v>
      </c>
      <c r="BH954">
        <v>1</v>
      </c>
      <c r="BI954">
        <v>1</v>
      </c>
      <c r="BJ954">
        <v>0.2</v>
      </c>
      <c r="BK954">
        <v>1</v>
      </c>
      <c r="BL954">
        <v>76.06</v>
      </c>
      <c r="BM954">
        <v>11.41</v>
      </c>
      <c r="BN954">
        <v>87.47</v>
      </c>
      <c r="BO954">
        <v>87.47</v>
      </c>
      <c r="BQ954" t="s">
        <v>888</v>
      </c>
      <c r="BR954" t="s">
        <v>82</v>
      </c>
      <c r="BS954" s="3">
        <v>46002</v>
      </c>
      <c r="BT954" s="4">
        <v>0.41805555555555557</v>
      </c>
      <c r="BU954" t="s">
        <v>1726</v>
      </c>
      <c r="BV954" t="s">
        <v>87</v>
      </c>
      <c r="BW954" t="s">
        <v>246</v>
      </c>
      <c r="BX954" t="s">
        <v>247</v>
      </c>
      <c r="BY954">
        <v>1200</v>
      </c>
      <c r="CA954" t="s">
        <v>630</v>
      </c>
      <c r="CC954" t="s">
        <v>782</v>
      </c>
      <c r="CD954">
        <v>4133</v>
      </c>
      <c r="CE954" t="s">
        <v>134</v>
      </c>
      <c r="CF954" s="3">
        <v>46003</v>
      </c>
      <c r="CI954">
        <v>1</v>
      </c>
      <c r="CJ954">
        <v>3</v>
      </c>
      <c r="CK954">
        <v>21</v>
      </c>
      <c r="CL954" t="s">
        <v>87</v>
      </c>
    </row>
    <row r="955" spans="1:90" x14ac:dyDescent="0.3">
      <c r="A955" t="s">
        <v>72</v>
      </c>
      <c r="B955" t="s">
        <v>73</v>
      </c>
      <c r="C955" t="s">
        <v>74</v>
      </c>
      <c r="E955" t="str">
        <f>"080069749874"</f>
        <v>080069749874</v>
      </c>
      <c r="F955" s="3">
        <v>45999</v>
      </c>
      <c r="G955">
        <v>202609</v>
      </c>
      <c r="H955" t="s">
        <v>75</v>
      </c>
      <c r="I955" t="s">
        <v>76</v>
      </c>
      <c r="J955" t="s">
        <v>77</v>
      </c>
      <c r="K955" t="s">
        <v>78</v>
      </c>
      <c r="L955" t="s">
        <v>141</v>
      </c>
      <c r="M955" t="s">
        <v>142</v>
      </c>
      <c r="N955" t="s">
        <v>688</v>
      </c>
      <c r="O955" t="s">
        <v>89</v>
      </c>
      <c r="P955" t="str">
        <f>"4170072422                    "</f>
        <v xml:space="preserve">4170072422                    </v>
      </c>
      <c r="Q955">
        <v>0</v>
      </c>
      <c r="R955">
        <v>0</v>
      </c>
      <c r="S955">
        <v>0</v>
      </c>
      <c r="T955">
        <v>0</v>
      </c>
      <c r="U955">
        <v>0</v>
      </c>
      <c r="V955">
        <v>0</v>
      </c>
      <c r="W955">
        <v>0</v>
      </c>
      <c r="X955">
        <v>0</v>
      </c>
      <c r="Y955">
        <v>0</v>
      </c>
      <c r="Z955">
        <v>0</v>
      </c>
      <c r="AA955">
        <v>0</v>
      </c>
      <c r="AB955">
        <v>0</v>
      </c>
      <c r="AC955">
        <v>0</v>
      </c>
      <c r="AD955">
        <v>0</v>
      </c>
      <c r="AE955">
        <v>0</v>
      </c>
      <c r="AF955">
        <v>0</v>
      </c>
      <c r="AG955">
        <v>0</v>
      </c>
      <c r="AH955">
        <v>0</v>
      </c>
      <c r="AI955">
        <v>0</v>
      </c>
      <c r="AJ955">
        <v>0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63.79</v>
      </c>
      <c r="AR955">
        <v>0</v>
      </c>
      <c r="AS955">
        <v>0</v>
      </c>
      <c r="AT955">
        <v>0</v>
      </c>
      <c r="AU955">
        <v>0</v>
      </c>
      <c r="AV955">
        <v>0</v>
      </c>
      <c r="AW955">
        <v>0</v>
      </c>
      <c r="AX955">
        <v>0</v>
      </c>
      <c r="AY955">
        <v>0</v>
      </c>
      <c r="AZ955">
        <v>0</v>
      </c>
      <c r="BA955">
        <v>0</v>
      </c>
      <c r="BB955">
        <v>0</v>
      </c>
      <c r="BC955">
        <v>0</v>
      </c>
      <c r="BD955">
        <v>0</v>
      </c>
      <c r="BE955">
        <v>0</v>
      </c>
      <c r="BF955">
        <v>0</v>
      </c>
      <c r="BG955">
        <v>0</v>
      </c>
      <c r="BH955">
        <v>2</v>
      </c>
      <c r="BI955">
        <v>5</v>
      </c>
      <c r="BJ955">
        <v>3.5</v>
      </c>
      <c r="BK955">
        <v>5</v>
      </c>
      <c r="BL955">
        <v>190.11</v>
      </c>
      <c r="BM955">
        <v>28.52</v>
      </c>
      <c r="BN955">
        <v>218.63</v>
      </c>
      <c r="BO955">
        <v>218.63</v>
      </c>
      <c r="BQ955" t="s">
        <v>689</v>
      </c>
      <c r="BR955" t="s">
        <v>82</v>
      </c>
      <c r="BS955" s="3">
        <v>46000</v>
      </c>
      <c r="BT955" s="4">
        <v>0.38472222222222224</v>
      </c>
      <c r="BU955" t="s">
        <v>1727</v>
      </c>
      <c r="BV955" t="s">
        <v>84</v>
      </c>
      <c r="BY955">
        <v>17632</v>
      </c>
      <c r="CA955" t="s">
        <v>1228</v>
      </c>
      <c r="CC955" t="s">
        <v>142</v>
      </c>
      <c r="CD955">
        <v>6000</v>
      </c>
      <c r="CE955" t="s">
        <v>86</v>
      </c>
      <c r="CF955" s="3">
        <v>46000</v>
      </c>
      <c r="CI955">
        <v>1</v>
      </c>
      <c r="CJ955">
        <v>1</v>
      </c>
      <c r="CK955">
        <v>21</v>
      </c>
      <c r="CL955" t="s">
        <v>87</v>
      </c>
    </row>
    <row r="956" spans="1:90" x14ac:dyDescent="0.3">
      <c r="A956" t="s">
        <v>72</v>
      </c>
      <c r="B956" t="s">
        <v>73</v>
      </c>
      <c r="C956" t="s">
        <v>74</v>
      </c>
      <c r="E956" t="str">
        <f>"080069749916"</f>
        <v>080069749916</v>
      </c>
      <c r="F956" s="3">
        <v>45999</v>
      </c>
      <c r="G956">
        <v>202609</v>
      </c>
      <c r="H956" t="s">
        <v>75</v>
      </c>
      <c r="I956" t="s">
        <v>76</v>
      </c>
      <c r="J956" t="s">
        <v>77</v>
      </c>
      <c r="K956" t="s">
        <v>78</v>
      </c>
      <c r="L956" t="s">
        <v>781</v>
      </c>
      <c r="M956" t="s">
        <v>782</v>
      </c>
      <c r="N956" t="s">
        <v>887</v>
      </c>
      <c r="O956" t="s">
        <v>89</v>
      </c>
      <c r="P956" t="str">
        <f>"4170072305                    "</f>
        <v xml:space="preserve">4170072305                    </v>
      </c>
      <c r="Q956">
        <v>0</v>
      </c>
      <c r="R956">
        <v>0</v>
      </c>
      <c r="S956">
        <v>0</v>
      </c>
      <c r="T956">
        <v>0</v>
      </c>
      <c r="U956">
        <v>0</v>
      </c>
      <c r="V956">
        <v>0</v>
      </c>
      <c r="W956">
        <v>0</v>
      </c>
      <c r="X956">
        <v>0</v>
      </c>
      <c r="Y956">
        <v>0</v>
      </c>
      <c r="Z956">
        <v>0</v>
      </c>
      <c r="AA956">
        <v>0</v>
      </c>
      <c r="AB956">
        <v>0</v>
      </c>
      <c r="AC956">
        <v>0</v>
      </c>
      <c r="AD956">
        <v>0</v>
      </c>
      <c r="AE956">
        <v>0</v>
      </c>
      <c r="AF956">
        <v>0</v>
      </c>
      <c r="AG956">
        <v>0</v>
      </c>
      <c r="AH956">
        <v>0</v>
      </c>
      <c r="AI956">
        <v>0</v>
      </c>
      <c r="AJ956">
        <v>0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25.52</v>
      </c>
      <c r="AR956">
        <v>0</v>
      </c>
      <c r="AS956">
        <v>0</v>
      </c>
      <c r="AT956">
        <v>0</v>
      </c>
      <c r="AU956">
        <v>0</v>
      </c>
      <c r="AV956">
        <v>0</v>
      </c>
      <c r="AW956">
        <v>0</v>
      </c>
      <c r="AX956">
        <v>0</v>
      </c>
      <c r="AY956">
        <v>0</v>
      </c>
      <c r="AZ956">
        <v>0</v>
      </c>
      <c r="BA956">
        <v>0</v>
      </c>
      <c r="BB956">
        <v>0</v>
      </c>
      <c r="BC956">
        <v>0</v>
      </c>
      <c r="BD956">
        <v>0</v>
      </c>
      <c r="BE956">
        <v>0</v>
      </c>
      <c r="BF956">
        <v>0</v>
      </c>
      <c r="BG956">
        <v>0</v>
      </c>
      <c r="BH956">
        <v>1</v>
      </c>
      <c r="BI956">
        <v>1</v>
      </c>
      <c r="BJ956">
        <v>0.2</v>
      </c>
      <c r="BK956">
        <v>1</v>
      </c>
      <c r="BL956">
        <v>76.06</v>
      </c>
      <c r="BM956">
        <v>11.41</v>
      </c>
      <c r="BN956">
        <v>87.47</v>
      </c>
      <c r="BO956">
        <v>87.47</v>
      </c>
      <c r="BQ956" t="s">
        <v>888</v>
      </c>
      <c r="BR956" t="s">
        <v>82</v>
      </c>
      <c r="BS956" s="3">
        <v>46000</v>
      </c>
      <c r="BT956" s="4">
        <v>0.77777777777777779</v>
      </c>
      <c r="BU956" t="s">
        <v>1648</v>
      </c>
      <c r="BV956" t="s">
        <v>87</v>
      </c>
      <c r="BW956" t="s">
        <v>246</v>
      </c>
      <c r="BX956" t="s">
        <v>1728</v>
      </c>
      <c r="BY956">
        <v>1200</v>
      </c>
      <c r="CA956" t="s">
        <v>630</v>
      </c>
      <c r="CC956" t="s">
        <v>782</v>
      </c>
      <c r="CD956">
        <v>4133</v>
      </c>
      <c r="CE956" t="s">
        <v>134</v>
      </c>
      <c r="CF956" s="3">
        <v>46001</v>
      </c>
      <c r="CI956">
        <v>1</v>
      </c>
      <c r="CJ956">
        <v>1</v>
      </c>
      <c r="CK956">
        <v>21</v>
      </c>
      <c r="CL956" t="s">
        <v>87</v>
      </c>
    </row>
    <row r="957" spans="1:90" x14ac:dyDescent="0.3">
      <c r="A957" t="s">
        <v>72</v>
      </c>
      <c r="B957" t="s">
        <v>73</v>
      </c>
      <c r="C957" t="s">
        <v>74</v>
      </c>
      <c r="E957" t="str">
        <f>"080069749962"</f>
        <v>080069749962</v>
      </c>
      <c r="F957" s="3">
        <v>45999</v>
      </c>
      <c r="G957">
        <v>202609</v>
      </c>
      <c r="H957" t="s">
        <v>75</v>
      </c>
      <c r="I957" t="s">
        <v>76</v>
      </c>
      <c r="J957" t="s">
        <v>77</v>
      </c>
      <c r="K957" t="s">
        <v>78</v>
      </c>
      <c r="L957" t="s">
        <v>100</v>
      </c>
      <c r="M957" t="s">
        <v>101</v>
      </c>
      <c r="N957" t="s">
        <v>199</v>
      </c>
      <c r="O957" t="s">
        <v>89</v>
      </c>
      <c r="P957" t="str">
        <f>"4170072205                    "</f>
        <v xml:space="preserve">4170072205                    </v>
      </c>
      <c r="Q957">
        <v>0</v>
      </c>
      <c r="R957">
        <v>0</v>
      </c>
      <c r="S957">
        <v>0</v>
      </c>
      <c r="T957">
        <v>0</v>
      </c>
      <c r="U957">
        <v>0</v>
      </c>
      <c r="V957">
        <v>0</v>
      </c>
      <c r="W957">
        <v>0</v>
      </c>
      <c r="X957">
        <v>0</v>
      </c>
      <c r="Y957">
        <v>0</v>
      </c>
      <c r="Z957">
        <v>0</v>
      </c>
      <c r="AA957">
        <v>0</v>
      </c>
      <c r="AB957">
        <v>0</v>
      </c>
      <c r="AC957">
        <v>0</v>
      </c>
      <c r="AD957">
        <v>0</v>
      </c>
      <c r="AE957">
        <v>0</v>
      </c>
      <c r="AF957">
        <v>0</v>
      </c>
      <c r="AG957">
        <v>0</v>
      </c>
      <c r="AH957">
        <v>0</v>
      </c>
      <c r="AI957">
        <v>0</v>
      </c>
      <c r="AJ957">
        <v>0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25.52</v>
      </c>
      <c r="AR957">
        <v>0</v>
      </c>
      <c r="AS957">
        <v>0</v>
      </c>
      <c r="AT957">
        <v>0</v>
      </c>
      <c r="AU957">
        <v>0</v>
      </c>
      <c r="AV957">
        <v>0</v>
      </c>
      <c r="AW957">
        <v>0</v>
      </c>
      <c r="AX957">
        <v>0</v>
      </c>
      <c r="AY957">
        <v>0</v>
      </c>
      <c r="AZ957">
        <v>0</v>
      </c>
      <c r="BA957">
        <v>0</v>
      </c>
      <c r="BB957">
        <v>0</v>
      </c>
      <c r="BC957">
        <v>0</v>
      </c>
      <c r="BD957">
        <v>0</v>
      </c>
      <c r="BE957">
        <v>0</v>
      </c>
      <c r="BF957">
        <v>0</v>
      </c>
      <c r="BG957">
        <v>0</v>
      </c>
      <c r="BH957">
        <v>1</v>
      </c>
      <c r="BI957">
        <v>1</v>
      </c>
      <c r="BJ957">
        <v>1.1000000000000001</v>
      </c>
      <c r="BK957">
        <v>1.5</v>
      </c>
      <c r="BL957">
        <v>76.06</v>
      </c>
      <c r="BM957">
        <v>11.41</v>
      </c>
      <c r="BN957">
        <v>87.47</v>
      </c>
      <c r="BO957">
        <v>87.47</v>
      </c>
      <c r="BQ957" t="s">
        <v>200</v>
      </c>
      <c r="BR957" t="s">
        <v>82</v>
      </c>
      <c r="BS957" s="3">
        <v>46000</v>
      </c>
      <c r="BT957" s="4">
        <v>0.75486111111111109</v>
      </c>
      <c r="BU957" t="s">
        <v>1729</v>
      </c>
      <c r="BV957" t="s">
        <v>87</v>
      </c>
      <c r="BW957" t="s">
        <v>246</v>
      </c>
      <c r="BX957" t="s">
        <v>1728</v>
      </c>
      <c r="BY957">
        <v>5510</v>
      </c>
      <c r="CA957" t="s">
        <v>1180</v>
      </c>
      <c r="CC957" t="s">
        <v>101</v>
      </c>
      <c r="CD957">
        <v>4001</v>
      </c>
      <c r="CE957" t="s">
        <v>86</v>
      </c>
      <c r="CF957" s="3">
        <v>46001</v>
      </c>
      <c r="CI957">
        <v>1</v>
      </c>
      <c r="CJ957">
        <v>1</v>
      </c>
      <c r="CK957">
        <v>21</v>
      </c>
      <c r="CL957" t="s">
        <v>87</v>
      </c>
    </row>
    <row r="958" spans="1:90" x14ac:dyDescent="0.3">
      <c r="A958" t="s">
        <v>72</v>
      </c>
      <c r="B958" t="s">
        <v>73</v>
      </c>
      <c r="C958" t="s">
        <v>74</v>
      </c>
      <c r="E958" t="str">
        <f>"080069750386"</f>
        <v>080069750386</v>
      </c>
      <c r="F958" s="3">
        <v>45999</v>
      </c>
      <c r="G958">
        <v>202609</v>
      </c>
      <c r="H958" t="s">
        <v>75</v>
      </c>
      <c r="I958" t="s">
        <v>76</v>
      </c>
      <c r="J958" t="s">
        <v>77</v>
      </c>
      <c r="K958" t="s">
        <v>78</v>
      </c>
      <c r="L958" t="s">
        <v>265</v>
      </c>
      <c r="M958" t="s">
        <v>266</v>
      </c>
      <c r="N958" t="s">
        <v>1730</v>
      </c>
      <c r="O958" t="s">
        <v>89</v>
      </c>
      <c r="P958" t="str">
        <f>"4170072316                    "</f>
        <v xml:space="preserve">4170072316                    </v>
      </c>
      <c r="Q958">
        <v>0</v>
      </c>
      <c r="R958">
        <v>0</v>
      </c>
      <c r="S958">
        <v>0</v>
      </c>
      <c r="T958">
        <v>0</v>
      </c>
      <c r="U958">
        <v>0</v>
      </c>
      <c r="V958">
        <v>0</v>
      </c>
      <c r="W958">
        <v>0</v>
      </c>
      <c r="X958">
        <v>0</v>
      </c>
      <c r="Y958">
        <v>0</v>
      </c>
      <c r="Z958">
        <v>0</v>
      </c>
      <c r="AA958">
        <v>0</v>
      </c>
      <c r="AB958">
        <v>0</v>
      </c>
      <c r="AC958">
        <v>0</v>
      </c>
      <c r="AD958">
        <v>0</v>
      </c>
      <c r="AE958">
        <v>0</v>
      </c>
      <c r="AF958">
        <v>0</v>
      </c>
      <c r="AG958">
        <v>0</v>
      </c>
      <c r="AH958">
        <v>0</v>
      </c>
      <c r="AI958">
        <v>0</v>
      </c>
      <c r="AJ958">
        <v>0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19.940000000000001</v>
      </c>
      <c r="AR958">
        <v>0</v>
      </c>
      <c r="AS958">
        <v>0</v>
      </c>
      <c r="AT958">
        <v>0</v>
      </c>
      <c r="AU958">
        <v>0</v>
      </c>
      <c r="AV958">
        <v>0</v>
      </c>
      <c r="AW958">
        <v>0</v>
      </c>
      <c r="AX958">
        <v>0</v>
      </c>
      <c r="AY958">
        <v>0</v>
      </c>
      <c r="AZ958">
        <v>0</v>
      </c>
      <c r="BA958">
        <v>0</v>
      </c>
      <c r="BB958">
        <v>0</v>
      </c>
      <c r="BC958">
        <v>0</v>
      </c>
      <c r="BD958">
        <v>0</v>
      </c>
      <c r="BE958">
        <v>0</v>
      </c>
      <c r="BF958">
        <v>0</v>
      </c>
      <c r="BG958">
        <v>0</v>
      </c>
      <c r="BH958">
        <v>1</v>
      </c>
      <c r="BI958">
        <v>1</v>
      </c>
      <c r="BJ958">
        <v>0.2</v>
      </c>
      <c r="BK958">
        <v>1</v>
      </c>
      <c r="BL958">
        <v>59.42</v>
      </c>
      <c r="BM958">
        <v>8.91</v>
      </c>
      <c r="BN958">
        <v>68.33</v>
      </c>
      <c r="BO958">
        <v>68.33</v>
      </c>
      <c r="BQ958" t="s">
        <v>1731</v>
      </c>
      <c r="BR958" t="s">
        <v>82</v>
      </c>
      <c r="BS958" s="3">
        <v>46000</v>
      </c>
      <c r="BT958" s="4">
        <v>0.39444444444444443</v>
      </c>
      <c r="BU958" t="s">
        <v>1732</v>
      </c>
      <c r="BV958" t="s">
        <v>84</v>
      </c>
      <c r="BY958">
        <v>1200</v>
      </c>
      <c r="CA958" t="s">
        <v>319</v>
      </c>
      <c r="CC958" t="s">
        <v>266</v>
      </c>
      <c r="CD958">
        <v>1460</v>
      </c>
      <c r="CE958" t="s">
        <v>134</v>
      </c>
      <c r="CF958" s="3">
        <v>46001</v>
      </c>
      <c r="CI958">
        <v>1</v>
      </c>
      <c r="CJ958">
        <v>1</v>
      </c>
      <c r="CK958">
        <v>22</v>
      </c>
      <c r="CL958" t="s">
        <v>87</v>
      </c>
    </row>
    <row r="959" spans="1:90" x14ac:dyDescent="0.3">
      <c r="A959" t="s">
        <v>72</v>
      </c>
      <c r="B959" t="s">
        <v>73</v>
      </c>
      <c r="C959" t="s">
        <v>74</v>
      </c>
      <c r="E959" t="str">
        <f>"080069750456"</f>
        <v>080069750456</v>
      </c>
      <c r="F959" s="3">
        <v>45999</v>
      </c>
      <c r="G959">
        <v>202609</v>
      </c>
      <c r="H959" t="s">
        <v>75</v>
      </c>
      <c r="I959" t="s">
        <v>76</v>
      </c>
      <c r="J959" t="s">
        <v>77</v>
      </c>
      <c r="K959" t="s">
        <v>78</v>
      </c>
      <c r="L959" t="s">
        <v>535</v>
      </c>
      <c r="M959" t="s">
        <v>535</v>
      </c>
      <c r="N959" t="s">
        <v>772</v>
      </c>
      <c r="O959" t="s">
        <v>89</v>
      </c>
      <c r="P959" t="str">
        <f>"4170072385                    "</f>
        <v xml:space="preserve">4170072385                    </v>
      </c>
      <c r="Q959">
        <v>0</v>
      </c>
      <c r="R959">
        <v>0</v>
      </c>
      <c r="S959">
        <v>0</v>
      </c>
      <c r="T959">
        <v>0</v>
      </c>
      <c r="U959">
        <v>0</v>
      </c>
      <c r="V959">
        <v>0</v>
      </c>
      <c r="W959">
        <v>0</v>
      </c>
      <c r="X959">
        <v>0</v>
      </c>
      <c r="Y959">
        <v>0</v>
      </c>
      <c r="Z959">
        <v>0</v>
      </c>
      <c r="AA959">
        <v>0</v>
      </c>
      <c r="AB959">
        <v>0</v>
      </c>
      <c r="AC959">
        <v>0</v>
      </c>
      <c r="AD959">
        <v>0</v>
      </c>
      <c r="AE959">
        <v>0</v>
      </c>
      <c r="AF959">
        <v>0</v>
      </c>
      <c r="AG959">
        <v>0</v>
      </c>
      <c r="AH959">
        <v>0</v>
      </c>
      <c r="AI959">
        <v>0</v>
      </c>
      <c r="AJ959">
        <v>0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49.45</v>
      </c>
      <c r="AR959">
        <v>0</v>
      </c>
      <c r="AS959">
        <v>0</v>
      </c>
      <c r="AT959">
        <v>0</v>
      </c>
      <c r="AU959">
        <v>0</v>
      </c>
      <c r="AV959">
        <v>0</v>
      </c>
      <c r="AW959">
        <v>0</v>
      </c>
      <c r="AX959">
        <v>0</v>
      </c>
      <c r="AY959">
        <v>0</v>
      </c>
      <c r="AZ959">
        <v>0</v>
      </c>
      <c r="BA959">
        <v>0</v>
      </c>
      <c r="BB959">
        <v>0</v>
      </c>
      <c r="BC959">
        <v>0</v>
      </c>
      <c r="BD959">
        <v>0</v>
      </c>
      <c r="BE959">
        <v>0</v>
      </c>
      <c r="BF959">
        <v>0</v>
      </c>
      <c r="BG959">
        <v>0</v>
      </c>
      <c r="BH959">
        <v>1</v>
      </c>
      <c r="BI959">
        <v>1</v>
      </c>
      <c r="BJ959">
        <v>0.2</v>
      </c>
      <c r="BK959">
        <v>1</v>
      </c>
      <c r="BL959">
        <v>147.38</v>
      </c>
      <c r="BM959">
        <v>22.11</v>
      </c>
      <c r="BN959">
        <v>169.49</v>
      </c>
      <c r="BO959">
        <v>169.49</v>
      </c>
      <c r="BQ959" t="s">
        <v>773</v>
      </c>
      <c r="BR959" t="s">
        <v>82</v>
      </c>
      <c r="BS959" s="3">
        <v>46000</v>
      </c>
      <c r="BT959" s="4">
        <v>0.53819444444444442</v>
      </c>
      <c r="BU959" t="s">
        <v>984</v>
      </c>
      <c r="BV959" t="s">
        <v>84</v>
      </c>
      <c r="BY959">
        <v>1200</v>
      </c>
      <c r="CA959" t="s">
        <v>539</v>
      </c>
      <c r="CC959" t="s">
        <v>535</v>
      </c>
      <c r="CD959">
        <v>7646</v>
      </c>
      <c r="CE959" t="s">
        <v>134</v>
      </c>
      <c r="CF959" s="3">
        <v>46001</v>
      </c>
      <c r="CI959">
        <v>1</v>
      </c>
      <c r="CJ959">
        <v>1</v>
      </c>
      <c r="CK959">
        <v>23</v>
      </c>
      <c r="CL959" t="s">
        <v>87</v>
      </c>
    </row>
    <row r="960" spans="1:90" x14ac:dyDescent="0.3">
      <c r="A960" t="s">
        <v>72</v>
      </c>
      <c r="B960" t="s">
        <v>73</v>
      </c>
      <c r="C960" t="s">
        <v>74</v>
      </c>
      <c r="E960" t="str">
        <f>"080069750491"</f>
        <v>080069750491</v>
      </c>
      <c r="F960" s="3">
        <v>45999</v>
      </c>
      <c r="G960">
        <v>202609</v>
      </c>
      <c r="H960" t="s">
        <v>75</v>
      </c>
      <c r="I960" t="s">
        <v>76</v>
      </c>
      <c r="J960" t="s">
        <v>77</v>
      </c>
      <c r="K960" t="s">
        <v>78</v>
      </c>
      <c r="L960" t="s">
        <v>120</v>
      </c>
      <c r="M960" t="s">
        <v>121</v>
      </c>
      <c r="N960" t="s">
        <v>337</v>
      </c>
      <c r="O960" t="s">
        <v>89</v>
      </c>
      <c r="P960" t="str">
        <f>"4170072300                    "</f>
        <v xml:space="preserve">4170072300                    </v>
      </c>
      <c r="Q960">
        <v>0</v>
      </c>
      <c r="R960">
        <v>0</v>
      </c>
      <c r="S960">
        <v>0</v>
      </c>
      <c r="T960">
        <v>0</v>
      </c>
      <c r="U960">
        <v>0</v>
      </c>
      <c r="V960">
        <v>0</v>
      </c>
      <c r="W960">
        <v>0</v>
      </c>
      <c r="X960">
        <v>0</v>
      </c>
      <c r="Y960">
        <v>0</v>
      </c>
      <c r="Z960">
        <v>0</v>
      </c>
      <c r="AA960">
        <v>0</v>
      </c>
      <c r="AB960">
        <v>0</v>
      </c>
      <c r="AC960">
        <v>0</v>
      </c>
      <c r="AD960">
        <v>0</v>
      </c>
      <c r="AE960">
        <v>0</v>
      </c>
      <c r="AF960">
        <v>0</v>
      </c>
      <c r="AG960">
        <v>0</v>
      </c>
      <c r="AH960">
        <v>0</v>
      </c>
      <c r="AI960">
        <v>0</v>
      </c>
      <c r="AJ960">
        <v>0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76.55</v>
      </c>
      <c r="AR960">
        <v>0</v>
      </c>
      <c r="AS960">
        <v>0</v>
      </c>
      <c r="AT960">
        <v>0</v>
      </c>
      <c r="AU960">
        <v>0</v>
      </c>
      <c r="AV960">
        <v>0</v>
      </c>
      <c r="AW960">
        <v>0</v>
      </c>
      <c r="AX960">
        <v>0</v>
      </c>
      <c r="AY960">
        <v>0</v>
      </c>
      <c r="AZ960">
        <v>0</v>
      </c>
      <c r="BA960">
        <v>0</v>
      </c>
      <c r="BB960">
        <v>0</v>
      </c>
      <c r="BC960">
        <v>0</v>
      </c>
      <c r="BD960">
        <v>0</v>
      </c>
      <c r="BE960">
        <v>0</v>
      </c>
      <c r="BF960">
        <v>0</v>
      </c>
      <c r="BG960">
        <v>0</v>
      </c>
      <c r="BH960">
        <v>1</v>
      </c>
      <c r="BI960">
        <v>6</v>
      </c>
      <c r="BJ960">
        <v>3.6</v>
      </c>
      <c r="BK960">
        <v>6</v>
      </c>
      <c r="BL960">
        <v>228.13</v>
      </c>
      <c r="BM960">
        <v>34.22</v>
      </c>
      <c r="BN960">
        <v>262.35000000000002</v>
      </c>
      <c r="BO960">
        <v>262.35000000000002</v>
      </c>
      <c r="BQ960" t="s">
        <v>338</v>
      </c>
      <c r="BR960" t="s">
        <v>82</v>
      </c>
      <c r="BS960" s="3">
        <v>46000</v>
      </c>
      <c r="BT960" s="4">
        <v>0.34027777777777779</v>
      </c>
      <c r="BU960" t="s">
        <v>339</v>
      </c>
      <c r="BV960" t="s">
        <v>84</v>
      </c>
      <c r="BY960">
        <v>18096</v>
      </c>
      <c r="CA960" t="s">
        <v>126</v>
      </c>
      <c r="CC960" t="s">
        <v>121</v>
      </c>
      <c r="CD960">
        <v>6230</v>
      </c>
      <c r="CE960" t="s">
        <v>86</v>
      </c>
      <c r="CF960" s="3">
        <v>46000</v>
      </c>
      <c r="CI960">
        <v>1</v>
      </c>
      <c r="CJ960">
        <v>1</v>
      </c>
      <c r="CK960">
        <v>21</v>
      </c>
      <c r="CL960" t="s">
        <v>87</v>
      </c>
    </row>
    <row r="961" spans="1:90" x14ac:dyDescent="0.3">
      <c r="A961" t="s">
        <v>72</v>
      </c>
      <c r="B961" t="s">
        <v>73</v>
      </c>
      <c r="C961" t="s">
        <v>74</v>
      </c>
      <c r="E961" t="str">
        <f>"080069750615"</f>
        <v>080069750615</v>
      </c>
      <c r="F961" s="3">
        <v>45999</v>
      </c>
      <c r="G961">
        <v>202609</v>
      </c>
      <c r="H961" t="s">
        <v>75</v>
      </c>
      <c r="I961" t="s">
        <v>76</v>
      </c>
      <c r="J961" t="s">
        <v>77</v>
      </c>
      <c r="K961" t="s">
        <v>78</v>
      </c>
      <c r="L961" t="s">
        <v>100</v>
      </c>
      <c r="M961" t="s">
        <v>101</v>
      </c>
      <c r="N961" t="s">
        <v>1367</v>
      </c>
      <c r="O961" t="s">
        <v>89</v>
      </c>
      <c r="P961" t="str">
        <f>"4170072053                    "</f>
        <v xml:space="preserve">4170072053                    </v>
      </c>
      <c r="Q961">
        <v>0</v>
      </c>
      <c r="R961">
        <v>0</v>
      </c>
      <c r="S961">
        <v>0</v>
      </c>
      <c r="T961">
        <v>0</v>
      </c>
      <c r="U961">
        <v>0</v>
      </c>
      <c r="V961">
        <v>0</v>
      </c>
      <c r="W961">
        <v>0</v>
      </c>
      <c r="X961">
        <v>0</v>
      </c>
      <c r="Y961">
        <v>0</v>
      </c>
      <c r="Z961">
        <v>0</v>
      </c>
      <c r="AA961">
        <v>0</v>
      </c>
      <c r="AB961">
        <v>0</v>
      </c>
      <c r="AC961">
        <v>0</v>
      </c>
      <c r="AD961">
        <v>0</v>
      </c>
      <c r="AE961">
        <v>0</v>
      </c>
      <c r="AF961">
        <v>0</v>
      </c>
      <c r="AG961">
        <v>0</v>
      </c>
      <c r="AH961">
        <v>0</v>
      </c>
      <c r="AI961">
        <v>0</v>
      </c>
      <c r="AJ961">
        <v>0</v>
      </c>
      <c r="AK961">
        <v>0</v>
      </c>
      <c r="AL961">
        <v>0</v>
      </c>
      <c r="AM961">
        <v>0</v>
      </c>
      <c r="AN961">
        <v>0</v>
      </c>
      <c r="AO961">
        <v>0</v>
      </c>
      <c r="AP961">
        <v>0</v>
      </c>
      <c r="AQ961">
        <v>51.04</v>
      </c>
      <c r="AR961">
        <v>0</v>
      </c>
      <c r="AS961">
        <v>0</v>
      </c>
      <c r="AT961">
        <v>0</v>
      </c>
      <c r="AU961">
        <v>0</v>
      </c>
      <c r="AV961">
        <v>0</v>
      </c>
      <c r="AW961">
        <v>0</v>
      </c>
      <c r="AX961">
        <v>0</v>
      </c>
      <c r="AY961">
        <v>0</v>
      </c>
      <c r="AZ961">
        <v>0</v>
      </c>
      <c r="BA961">
        <v>0</v>
      </c>
      <c r="BB961">
        <v>0</v>
      </c>
      <c r="BC961">
        <v>0</v>
      </c>
      <c r="BD961">
        <v>0</v>
      </c>
      <c r="BE961">
        <v>0</v>
      </c>
      <c r="BF961">
        <v>0</v>
      </c>
      <c r="BG961">
        <v>0</v>
      </c>
      <c r="BH961">
        <v>1</v>
      </c>
      <c r="BI961">
        <v>4</v>
      </c>
      <c r="BJ961">
        <v>3.4</v>
      </c>
      <c r="BK961">
        <v>4</v>
      </c>
      <c r="BL961">
        <v>152.1</v>
      </c>
      <c r="BM961">
        <v>22.82</v>
      </c>
      <c r="BN961">
        <v>174.92</v>
      </c>
      <c r="BO961">
        <v>174.92</v>
      </c>
      <c r="BQ961" t="s">
        <v>1368</v>
      </c>
      <c r="BR961" t="s">
        <v>82</v>
      </c>
      <c r="BS961" s="3">
        <v>46000</v>
      </c>
      <c r="BT961" s="4">
        <v>0.42638888888888887</v>
      </c>
      <c r="BU961" t="s">
        <v>1733</v>
      </c>
      <c r="BV961" t="s">
        <v>84</v>
      </c>
      <c r="BY961">
        <v>17138</v>
      </c>
      <c r="CA961" t="s">
        <v>323</v>
      </c>
      <c r="CC961" t="s">
        <v>101</v>
      </c>
      <c r="CD961">
        <v>4001</v>
      </c>
      <c r="CE961" t="s">
        <v>93</v>
      </c>
      <c r="CF961" s="3">
        <v>46000</v>
      </c>
      <c r="CI961">
        <v>1</v>
      </c>
      <c r="CJ961">
        <v>1</v>
      </c>
      <c r="CK961">
        <v>21</v>
      </c>
      <c r="CL961" t="s">
        <v>87</v>
      </c>
    </row>
    <row r="962" spans="1:90" x14ac:dyDescent="0.3">
      <c r="A962" t="s">
        <v>72</v>
      </c>
      <c r="B962" t="s">
        <v>73</v>
      </c>
      <c r="C962" t="s">
        <v>74</v>
      </c>
      <c r="E962" t="str">
        <f>"080069750842"</f>
        <v>080069750842</v>
      </c>
      <c r="F962" s="3">
        <v>45999</v>
      </c>
      <c r="G962">
        <v>202609</v>
      </c>
      <c r="H962" t="s">
        <v>75</v>
      </c>
      <c r="I962" t="s">
        <v>76</v>
      </c>
      <c r="J962" t="s">
        <v>77</v>
      </c>
      <c r="K962" t="s">
        <v>78</v>
      </c>
      <c r="L962" t="s">
        <v>465</v>
      </c>
      <c r="M962" t="s">
        <v>466</v>
      </c>
      <c r="N962" t="s">
        <v>467</v>
      </c>
      <c r="O962" t="s">
        <v>340</v>
      </c>
      <c r="P962" t="str">
        <f>"4170072469                    "</f>
        <v xml:space="preserve">4170072469                    </v>
      </c>
      <c r="Q962">
        <v>0</v>
      </c>
      <c r="R962">
        <v>0</v>
      </c>
      <c r="S962">
        <v>0</v>
      </c>
      <c r="T962">
        <v>0</v>
      </c>
      <c r="U962">
        <v>0</v>
      </c>
      <c r="V962">
        <v>0</v>
      </c>
      <c r="W962">
        <v>0</v>
      </c>
      <c r="X962">
        <v>0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0</v>
      </c>
      <c r="AE962">
        <v>0</v>
      </c>
      <c r="AF962">
        <v>0</v>
      </c>
      <c r="AG962">
        <v>0</v>
      </c>
      <c r="AH962">
        <v>0</v>
      </c>
      <c r="AI962">
        <v>0</v>
      </c>
      <c r="AJ962">
        <v>0</v>
      </c>
      <c r="AK962">
        <v>0</v>
      </c>
      <c r="AL962">
        <v>0</v>
      </c>
      <c r="AM962">
        <v>0</v>
      </c>
      <c r="AN962">
        <v>0</v>
      </c>
      <c r="AO962">
        <v>0</v>
      </c>
      <c r="AP962">
        <v>0</v>
      </c>
      <c r="AQ962">
        <v>19.940000000000001</v>
      </c>
      <c r="AR962">
        <v>0</v>
      </c>
      <c r="AS962">
        <v>0</v>
      </c>
      <c r="AT962">
        <v>0</v>
      </c>
      <c r="AU962">
        <v>0</v>
      </c>
      <c r="AV962">
        <v>0</v>
      </c>
      <c r="AW962">
        <v>0</v>
      </c>
      <c r="AX962">
        <v>0</v>
      </c>
      <c r="AY962">
        <v>0</v>
      </c>
      <c r="AZ962">
        <v>0</v>
      </c>
      <c r="BA962">
        <v>0</v>
      </c>
      <c r="BB962">
        <v>0</v>
      </c>
      <c r="BC962">
        <v>0</v>
      </c>
      <c r="BD962">
        <v>0</v>
      </c>
      <c r="BE962">
        <v>0</v>
      </c>
      <c r="BF962">
        <v>0</v>
      </c>
      <c r="BG962">
        <v>0</v>
      </c>
      <c r="BH962">
        <v>1</v>
      </c>
      <c r="BI962">
        <v>5</v>
      </c>
      <c r="BJ962">
        <v>1.8</v>
      </c>
      <c r="BK962">
        <v>5</v>
      </c>
      <c r="BL962">
        <v>59.43</v>
      </c>
      <c r="BM962">
        <v>8.91</v>
      </c>
      <c r="BN962">
        <v>68.34</v>
      </c>
      <c r="BO962">
        <v>68.34</v>
      </c>
      <c r="BQ962" t="s">
        <v>468</v>
      </c>
      <c r="BR962" t="s">
        <v>82</v>
      </c>
      <c r="BS962" s="3">
        <v>46000</v>
      </c>
      <c r="BT962" s="4">
        <v>0.4375</v>
      </c>
      <c r="BU962" t="s">
        <v>963</v>
      </c>
      <c r="BV962" t="s">
        <v>84</v>
      </c>
      <c r="BY962">
        <v>8816</v>
      </c>
      <c r="CC962" t="s">
        <v>466</v>
      </c>
      <c r="CD962">
        <v>1401</v>
      </c>
      <c r="CE962" t="s">
        <v>86</v>
      </c>
      <c r="CF962" s="3">
        <v>46001</v>
      </c>
      <c r="CI962">
        <v>1</v>
      </c>
      <c r="CJ962">
        <v>1</v>
      </c>
      <c r="CK962">
        <v>32</v>
      </c>
      <c r="CL962" t="s">
        <v>87</v>
      </c>
    </row>
    <row r="963" spans="1:90" x14ac:dyDescent="0.3">
      <c r="A963" t="s">
        <v>72</v>
      </c>
      <c r="B963" t="s">
        <v>73</v>
      </c>
      <c r="C963" t="s">
        <v>74</v>
      </c>
      <c r="E963" t="str">
        <f>"080069750904"</f>
        <v>080069750904</v>
      </c>
      <c r="F963" s="3">
        <v>45999</v>
      </c>
      <c r="G963">
        <v>202609</v>
      </c>
      <c r="H963" t="s">
        <v>75</v>
      </c>
      <c r="I963" t="s">
        <v>76</v>
      </c>
      <c r="J963" t="s">
        <v>77</v>
      </c>
      <c r="K963" t="s">
        <v>78</v>
      </c>
      <c r="L963" t="s">
        <v>272</v>
      </c>
      <c r="M963" t="s">
        <v>273</v>
      </c>
      <c r="N963" t="s">
        <v>1527</v>
      </c>
      <c r="O963" t="s">
        <v>89</v>
      </c>
      <c r="P963" t="str">
        <f>"4170072302                    "</f>
        <v xml:space="preserve">4170072302                    </v>
      </c>
      <c r="Q963">
        <v>0</v>
      </c>
      <c r="R963">
        <v>0</v>
      </c>
      <c r="S963">
        <v>0</v>
      </c>
      <c r="T963">
        <v>0</v>
      </c>
      <c r="U963">
        <v>0</v>
      </c>
      <c r="V963">
        <v>0</v>
      </c>
      <c r="W963">
        <v>0</v>
      </c>
      <c r="X963">
        <v>0</v>
      </c>
      <c r="Y963">
        <v>0</v>
      </c>
      <c r="Z963">
        <v>0</v>
      </c>
      <c r="AA963">
        <v>0</v>
      </c>
      <c r="AB963">
        <v>0</v>
      </c>
      <c r="AC963">
        <v>0</v>
      </c>
      <c r="AD963">
        <v>0</v>
      </c>
      <c r="AE963">
        <v>0</v>
      </c>
      <c r="AF963">
        <v>0</v>
      </c>
      <c r="AG963">
        <v>0</v>
      </c>
      <c r="AH963">
        <v>0</v>
      </c>
      <c r="AI963">
        <v>0</v>
      </c>
      <c r="AJ963">
        <v>0</v>
      </c>
      <c r="AK963">
        <v>0</v>
      </c>
      <c r="AL963">
        <v>0</v>
      </c>
      <c r="AM963">
        <v>0</v>
      </c>
      <c r="AN963">
        <v>0</v>
      </c>
      <c r="AO963">
        <v>0</v>
      </c>
      <c r="AP963">
        <v>0</v>
      </c>
      <c r="AQ963">
        <v>25.52</v>
      </c>
      <c r="AR963">
        <v>0</v>
      </c>
      <c r="AS963">
        <v>0</v>
      </c>
      <c r="AT963">
        <v>0</v>
      </c>
      <c r="AU963">
        <v>0</v>
      </c>
      <c r="AV963">
        <v>0</v>
      </c>
      <c r="AW963">
        <v>0</v>
      </c>
      <c r="AX963">
        <v>0</v>
      </c>
      <c r="AY963">
        <v>0</v>
      </c>
      <c r="AZ963">
        <v>0</v>
      </c>
      <c r="BA963">
        <v>0</v>
      </c>
      <c r="BB963">
        <v>0</v>
      </c>
      <c r="BC963">
        <v>0</v>
      </c>
      <c r="BD963">
        <v>0</v>
      </c>
      <c r="BE963">
        <v>0</v>
      </c>
      <c r="BF963">
        <v>0</v>
      </c>
      <c r="BG963">
        <v>0</v>
      </c>
      <c r="BH963">
        <v>1</v>
      </c>
      <c r="BI963">
        <v>2</v>
      </c>
      <c r="BJ963">
        <v>1.8</v>
      </c>
      <c r="BK963">
        <v>2</v>
      </c>
      <c r="BL963">
        <v>76.06</v>
      </c>
      <c r="BM963">
        <v>11.41</v>
      </c>
      <c r="BN963">
        <v>87.47</v>
      </c>
      <c r="BO963">
        <v>87.47</v>
      </c>
      <c r="BQ963" t="s">
        <v>1528</v>
      </c>
      <c r="BR963" t="s">
        <v>82</v>
      </c>
      <c r="BS963" s="3">
        <v>46000</v>
      </c>
      <c r="BT963" s="4">
        <v>0.40138888888888891</v>
      </c>
      <c r="BU963" t="s">
        <v>1734</v>
      </c>
      <c r="BV963" t="s">
        <v>84</v>
      </c>
      <c r="BY963">
        <v>8816</v>
      </c>
      <c r="CA963" t="s">
        <v>277</v>
      </c>
      <c r="CC963" t="s">
        <v>273</v>
      </c>
      <c r="CD963">
        <v>6220</v>
      </c>
      <c r="CE963" t="s">
        <v>86</v>
      </c>
      <c r="CF963" s="3">
        <v>46000</v>
      </c>
      <c r="CI963">
        <v>1</v>
      </c>
      <c r="CJ963">
        <v>1</v>
      </c>
      <c r="CK963">
        <v>21</v>
      </c>
      <c r="CL963" t="s">
        <v>87</v>
      </c>
    </row>
    <row r="964" spans="1:90" x14ac:dyDescent="0.3">
      <c r="A964" t="s">
        <v>72</v>
      </c>
      <c r="B964" t="s">
        <v>73</v>
      </c>
      <c r="C964" t="s">
        <v>74</v>
      </c>
      <c r="E964" t="str">
        <f>"080069750952"</f>
        <v>080069750952</v>
      </c>
      <c r="F964" s="3">
        <v>45999</v>
      </c>
      <c r="G964">
        <v>202609</v>
      </c>
      <c r="H964" t="s">
        <v>75</v>
      </c>
      <c r="I964" t="s">
        <v>76</v>
      </c>
      <c r="J964" t="s">
        <v>77</v>
      </c>
      <c r="K964" t="s">
        <v>78</v>
      </c>
      <c r="L964" t="s">
        <v>265</v>
      </c>
      <c r="M964" t="s">
        <v>266</v>
      </c>
      <c r="N964" t="s">
        <v>1730</v>
      </c>
      <c r="O964" t="s">
        <v>89</v>
      </c>
      <c r="P964" t="str">
        <f>"4170072314                    "</f>
        <v xml:space="preserve">4170072314                    </v>
      </c>
      <c r="Q964">
        <v>0</v>
      </c>
      <c r="R964">
        <v>0</v>
      </c>
      <c r="S964">
        <v>0</v>
      </c>
      <c r="T964">
        <v>0</v>
      </c>
      <c r="U964">
        <v>0</v>
      </c>
      <c r="V964">
        <v>0</v>
      </c>
      <c r="W964">
        <v>0</v>
      </c>
      <c r="X964">
        <v>0</v>
      </c>
      <c r="Y964">
        <v>0</v>
      </c>
      <c r="Z964">
        <v>0</v>
      </c>
      <c r="AA964">
        <v>0</v>
      </c>
      <c r="AB964">
        <v>0</v>
      </c>
      <c r="AC964">
        <v>0</v>
      </c>
      <c r="AD964">
        <v>0</v>
      </c>
      <c r="AE964">
        <v>0</v>
      </c>
      <c r="AF964">
        <v>0</v>
      </c>
      <c r="AG964">
        <v>0</v>
      </c>
      <c r="AH964">
        <v>0</v>
      </c>
      <c r="AI964">
        <v>0</v>
      </c>
      <c r="AJ964">
        <v>0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19.940000000000001</v>
      </c>
      <c r="AR964">
        <v>0</v>
      </c>
      <c r="AS964">
        <v>0</v>
      </c>
      <c r="AT964">
        <v>0</v>
      </c>
      <c r="AU964">
        <v>0</v>
      </c>
      <c r="AV964">
        <v>0</v>
      </c>
      <c r="AW964">
        <v>0</v>
      </c>
      <c r="AX964">
        <v>0</v>
      </c>
      <c r="AY964">
        <v>0</v>
      </c>
      <c r="AZ964">
        <v>0</v>
      </c>
      <c r="BA964">
        <v>0</v>
      </c>
      <c r="BB964">
        <v>0</v>
      </c>
      <c r="BC964">
        <v>0</v>
      </c>
      <c r="BD964">
        <v>0</v>
      </c>
      <c r="BE964">
        <v>0</v>
      </c>
      <c r="BF964">
        <v>0</v>
      </c>
      <c r="BG964">
        <v>0</v>
      </c>
      <c r="BH964">
        <v>1</v>
      </c>
      <c r="BI964">
        <v>1</v>
      </c>
      <c r="BJ964">
        <v>0.2</v>
      </c>
      <c r="BK964">
        <v>1</v>
      </c>
      <c r="BL964">
        <v>59.42</v>
      </c>
      <c r="BM964">
        <v>8.91</v>
      </c>
      <c r="BN964">
        <v>68.33</v>
      </c>
      <c r="BO964">
        <v>68.33</v>
      </c>
      <c r="BQ964" t="s">
        <v>1731</v>
      </c>
      <c r="BR964" t="s">
        <v>82</v>
      </c>
      <c r="BS964" s="3">
        <v>46000</v>
      </c>
      <c r="BT964" s="4">
        <v>0.39374999999999999</v>
      </c>
      <c r="BU964" t="s">
        <v>1732</v>
      </c>
      <c r="BV964" t="s">
        <v>84</v>
      </c>
      <c r="BY964">
        <v>1200</v>
      </c>
      <c r="CA964" t="s">
        <v>319</v>
      </c>
      <c r="CC964" t="s">
        <v>266</v>
      </c>
      <c r="CD964">
        <v>1460</v>
      </c>
      <c r="CE964" t="s">
        <v>134</v>
      </c>
      <c r="CF964" s="3">
        <v>46001</v>
      </c>
      <c r="CI964">
        <v>1</v>
      </c>
      <c r="CJ964">
        <v>1</v>
      </c>
      <c r="CK964">
        <v>22</v>
      </c>
      <c r="CL964" t="s">
        <v>87</v>
      </c>
    </row>
    <row r="965" spans="1:90" x14ac:dyDescent="0.3">
      <c r="A965" t="s">
        <v>72</v>
      </c>
      <c r="B965" t="s">
        <v>73</v>
      </c>
      <c r="C965" t="s">
        <v>74</v>
      </c>
      <c r="E965" t="str">
        <f>"080069751008"</f>
        <v>080069751008</v>
      </c>
      <c r="F965" s="3">
        <v>45999</v>
      </c>
      <c r="G965">
        <v>202609</v>
      </c>
      <c r="H965" t="s">
        <v>75</v>
      </c>
      <c r="I965" t="s">
        <v>76</v>
      </c>
      <c r="J965" t="s">
        <v>77</v>
      </c>
      <c r="K965" t="s">
        <v>78</v>
      </c>
      <c r="L965" t="s">
        <v>141</v>
      </c>
      <c r="M965" t="s">
        <v>142</v>
      </c>
      <c r="N965" t="s">
        <v>951</v>
      </c>
      <c r="O965" t="s">
        <v>89</v>
      </c>
      <c r="P965" t="str">
        <f>"4170072372                    "</f>
        <v xml:space="preserve">4170072372                    </v>
      </c>
      <c r="Q965">
        <v>0</v>
      </c>
      <c r="R965">
        <v>0</v>
      </c>
      <c r="S965">
        <v>0</v>
      </c>
      <c r="T965">
        <v>0</v>
      </c>
      <c r="U965">
        <v>0</v>
      </c>
      <c r="V965">
        <v>0</v>
      </c>
      <c r="W965">
        <v>0</v>
      </c>
      <c r="X965">
        <v>0</v>
      </c>
      <c r="Y965">
        <v>0</v>
      </c>
      <c r="Z965">
        <v>0</v>
      </c>
      <c r="AA965">
        <v>0</v>
      </c>
      <c r="AB965">
        <v>0</v>
      </c>
      <c r="AC965">
        <v>0</v>
      </c>
      <c r="AD965">
        <v>0</v>
      </c>
      <c r="AE965">
        <v>0</v>
      </c>
      <c r="AF965">
        <v>0</v>
      </c>
      <c r="AG965">
        <v>0</v>
      </c>
      <c r="AH965">
        <v>0</v>
      </c>
      <c r="AI965">
        <v>0</v>
      </c>
      <c r="AJ965">
        <v>0</v>
      </c>
      <c r="AK965">
        <v>0</v>
      </c>
      <c r="AL965">
        <v>0</v>
      </c>
      <c r="AM965">
        <v>0</v>
      </c>
      <c r="AN965">
        <v>0</v>
      </c>
      <c r="AO965">
        <v>0</v>
      </c>
      <c r="AP965">
        <v>0</v>
      </c>
      <c r="AQ965">
        <v>25.52</v>
      </c>
      <c r="AR965">
        <v>0</v>
      </c>
      <c r="AS965">
        <v>0</v>
      </c>
      <c r="AT965">
        <v>0</v>
      </c>
      <c r="AU965">
        <v>0</v>
      </c>
      <c r="AV965">
        <v>0</v>
      </c>
      <c r="AW965">
        <v>0</v>
      </c>
      <c r="AX965">
        <v>0</v>
      </c>
      <c r="AY965">
        <v>0</v>
      </c>
      <c r="AZ965">
        <v>0</v>
      </c>
      <c r="BA965">
        <v>0</v>
      </c>
      <c r="BB965">
        <v>0</v>
      </c>
      <c r="BC965">
        <v>0</v>
      </c>
      <c r="BD965">
        <v>0</v>
      </c>
      <c r="BE965">
        <v>0</v>
      </c>
      <c r="BF965">
        <v>0</v>
      </c>
      <c r="BG965">
        <v>0</v>
      </c>
      <c r="BH965">
        <v>1</v>
      </c>
      <c r="BI965">
        <v>1</v>
      </c>
      <c r="BJ965">
        <v>0.2</v>
      </c>
      <c r="BK965">
        <v>1</v>
      </c>
      <c r="BL965">
        <v>76.06</v>
      </c>
      <c r="BM965">
        <v>11.41</v>
      </c>
      <c r="BN965">
        <v>87.47</v>
      </c>
      <c r="BO965">
        <v>87.47</v>
      </c>
      <c r="BQ965" t="s">
        <v>952</v>
      </c>
      <c r="BR965" t="s">
        <v>82</v>
      </c>
      <c r="BS965" s="3">
        <v>46000</v>
      </c>
      <c r="BT965" s="4">
        <v>0.42708333333333331</v>
      </c>
      <c r="BU965" t="s">
        <v>1735</v>
      </c>
      <c r="BV965" t="s">
        <v>84</v>
      </c>
      <c r="BY965">
        <v>1200</v>
      </c>
      <c r="CA965" t="s">
        <v>1228</v>
      </c>
      <c r="CC965" t="s">
        <v>142</v>
      </c>
      <c r="CD965">
        <v>6000</v>
      </c>
      <c r="CE965" t="s">
        <v>134</v>
      </c>
      <c r="CF965" s="3">
        <v>46000</v>
      </c>
      <c r="CI965">
        <v>1</v>
      </c>
      <c r="CJ965">
        <v>1</v>
      </c>
      <c r="CK965">
        <v>21</v>
      </c>
      <c r="CL965" t="s">
        <v>87</v>
      </c>
    </row>
    <row r="966" spans="1:90" x14ac:dyDescent="0.3">
      <c r="A966" t="s">
        <v>72</v>
      </c>
      <c r="B966" t="s">
        <v>73</v>
      </c>
      <c r="C966" t="s">
        <v>74</v>
      </c>
      <c r="E966" t="str">
        <f>"080069751056"</f>
        <v>080069751056</v>
      </c>
      <c r="F966" s="3">
        <v>45999</v>
      </c>
      <c r="G966">
        <v>202609</v>
      </c>
      <c r="H966" t="s">
        <v>75</v>
      </c>
      <c r="I966" t="s">
        <v>76</v>
      </c>
      <c r="J966" t="s">
        <v>77</v>
      </c>
      <c r="K966" t="s">
        <v>78</v>
      </c>
      <c r="L966" t="s">
        <v>120</v>
      </c>
      <c r="M966" t="s">
        <v>121</v>
      </c>
      <c r="N966" t="s">
        <v>1736</v>
      </c>
      <c r="O966" t="s">
        <v>89</v>
      </c>
      <c r="P966" t="str">
        <f>"4170072312                    "</f>
        <v xml:space="preserve">4170072312                    </v>
      </c>
      <c r="Q966">
        <v>0</v>
      </c>
      <c r="R966">
        <v>0</v>
      </c>
      <c r="S966">
        <v>0</v>
      </c>
      <c r="T966">
        <v>0</v>
      </c>
      <c r="U966">
        <v>0</v>
      </c>
      <c r="V966">
        <v>0</v>
      </c>
      <c r="W966">
        <v>0</v>
      </c>
      <c r="X966">
        <v>0</v>
      </c>
      <c r="Y966">
        <v>0</v>
      </c>
      <c r="Z966">
        <v>0</v>
      </c>
      <c r="AA966">
        <v>0</v>
      </c>
      <c r="AB966">
        <v>0</v>
      </c>
      <c r="AC966">
        <v>0</v>
      </c>
      <c r="AD966">
        <v>0</v>
      </c>
      <c r="AE966">
        <v>0</v>
      </c>
      <c r="AF966">
        <v>0</v>
      </c>
      <c r="AG966">
        <v>0</v>
      </c>
      <c r="AH966">
        <v>0</v>
      </c>
      <c r="AI966">
        <v>0</v>
      </c>
      <c r="AJ966">
        <v>0</v>
      </c>
      <c r="AK966">
        <v>0</v>
      </c>
      <c r="AL966">
        <v>0</v>
      </c>
      <c r="AM966">
        <v>0</v>
      </c>
      <c r="AN966">
        <v>0</v>
      </c>
      <c r="AO966">
        <v>0</v>
      </c>
      <c r="AP966">
        <v>0</v>
      </c>
      <c r="AQ966">
        <v>25.52</v>
      </c>
      <c r="AR966">
        <v>0</v>
      </c>
      <c r="AS966">
        <v>0</v>
      </c>
      <c r="AT966">
        <v>0</v>
      </c>
      <c r="AU966">
        <v>0</v>
      </c>
      <c r="AV966">
        <v>0</v>
      </c>
      <c r="AW966">
        <v>0</v>
      </c>
      <c r="AX966">
        <v>0</v>
      </c>
      <c r="AY966">
        <v>0</v>
      </c>
      <c r="AZ966">
        <v>0</v>
      </c>
      <c r="BA966">
        <v>0</v>
      </c>
      <c r="BB966">
        <v>0</v>
      </c>
      <c r="BC966">
        <v>0</v>
      </c>
      <c r="BD966">
        <v>0</v>
      </c>
      <c r="BE966">
        <v>0</v>
      </c>
      <c r="BF966">
        <v>0</v>
      </c>
      <c r="BG966">
        <v>0</v>
      </c>
      <c r="BH966">
        <v>1</v>
      </c>
      <c r="BI966">
        <v>1</v>
      </c>
      <c r="BJ966">
        <v>0.2</v>
      </c>
      <c r="BK966">
        <v>1</v>
      </c>
      <c r="BL966">
        <v>76.06</v>
      </c>
      <c r="BM966">
        <v>11.41</v>
      </c>
      <c r="BN966">
        <v>87.47</v>
      </c>
      <c r="BO966">
        <v>87.47</v>
      </c>
      <c r="BQ966" t="s">
        <v>1737</v>
      </c>
      <c r="BR966" t="s">
        <v>82</v>
      </c>
      <c r="BS966" s="3">
        <v>46000</v>
      </c>
      <c r="BT966" s="4">
        <v>0.34375</v>
      </c>
      <c r="BU966" t="s">
        <v>1738</v>
      </c>
      <c r="BV966" t="s">
        <v>84</v>
      </c>
      <c r="BY966">
        <v>1200</v>
      </c>
      <c r="CA966" t="s">
        <v>126</v>
      </c>
      <c r="CC966" t="s">
        <v>121</v>
      </c>
      <c r="CD966">
        <v>6229</v>
      </c>
      <c r="CE966" t="s">
        <v>134</v>
      </c>
      <c r="CF966" s="3">
        <v>46000</v>
      </c>
      <c r="CI966">
        <v>1</v>
      </c>
      <c r="CJ966">
        <v>1</v>
      </c>
      <c r="CK966">
        <v>21</v>
      </c>
      <c r="CL966" t="s">
        <v>87</v>
      </c>
    </row>
    <row r="967" spans="1:90" x14ac:dyDescent="0.3">
      <c r="A967" t="s">
        <v>72</v>
      </c>
      <c r="B967" t="s">
        <v>73</v>
      </c>
      <c r="C967" t="s">
        <v>74</v>
      </c>
      <c r="E967" t="str">
        <f>"080069751091"</f>
        <v>080069751091</v>
      </c>
      <c r="F967" s="3">
        <v>45999</v>
      </c>
      <c r="G967">
        <v>202609</v>
      </c>
      <c r="H967" t="s">
        <v>75</v>
      </c>
      <c r="I967" t="s">
        <v>76</v>
      </c>
      <c r="J967" t="s">
        <v>77</v>
      </c>
      <c r="K967" t="s">
        <v>78</v>
      </c>
      <c r="L967" t="s">
        <v>100</v>
      </c>
      <c r="M967" t="s">
        <v>101</v>
      </c>
      <c r="N967" t="s">
        <v>498</v>
      </c>
      <c r="O967" t="s">
        <v>89</v>
      </c>
      <c r="P967" t="str">
        <f>"4170072308                    "</f>
        <v xml:space="preserve">4170072308                    </v>
      </c>
      <c r="Q967">
        <v>0</v>
      </c>
      <c r="R967">
        <v>0</v>
      </c>
      <c r="S967">
        <v>0</v>
      </c>
      <c r="T967">
        <v>0</v>
      </c>
      <c r="U967">
        <v>0</v>
      </c>
      <c r="V967">
        <v>0</v>
      </c>
      <c r="W967">
        <v>0</v>
      </c>
      <c r="X967">
        <v>0</v>
      </c>
      <c r="Y967">
        <v>0</v>
      </c>
      <c r="Z967">
        <v>0</v>
      </c>
      <c r="AA967">
        <v>0</v>
      </c>
      <c r="AB967">
        <v>0</v>
      </c>
      <c r="AC967">
        <v>0</v>
      </c>
      <c r="AD967">
        <v>0</v>
      </c>
      <c r="AE967">
        <v>0</v>
      </c>
      <c r="AF967">
        <v>0</v>
      </c>
      <c r="AG967">
        <v>0</v>
      </c>
      <c r="AH967">
        <v>0</v>
      </c>
      <c r="AI967">
        <v>0</v>
      </c>
      <c r="AJ967">
        <v>0</v>
      </c>
      <c r="AK967">
        <v>0</v>
      </c>
      <c r="AL967">
        <v>0</v>
      </c>
      <c r="AM967">
        <v>0</v>
      </c>
      <c r="AN967">
        <v>0</v>
      </c>
      <c r="AO967">
        <v>0</v>
      </c>
      <c r="AP967">
        <v>0</v>
      </c>
      <c r="AQ967">
        <v>25.52</v>
      </c>
      <c r="AR967">
        <v>0</v>
      </c>
      <c r="AS967">
        <v>0</v>
      </c>
      <c r="AT967">
        <v>0</v>
      </c>
      <c r="AU967">
        <v>0</v>
      </c>
      <c r="AV967">
        <v>0</v>
      </c>
      <c r="AW967">
        <v>0</v>
      </c>
      <c r="AX967">
        <v>0</v>
      </c>
      <c r="AY967">
        <v>0</v>
      </c>
      <c r="AZ967">
        <v>0</v>
      </c>
      <c r="BA967">
        <v>0</v>
      </c>
      <c r="BB967">
        <v>0</v>
      </c>
      <c r="BC967">
        <v>0</v>
      </c>
      <c r="BD967">
        <v>0</v>
      </c>
      <c r="BE967">
        <v>0</v>
      </c>
      <c r="BF967">
        <v>0</v>
      </c>
      <c r="BG967">
        <v>0</v>
      </c>
      <c r="BH967">
        <v>1</v>
      </c>
      <c r="BI967">
        <v>1</v>
      </c>
      <c r="BJ967">
        <v>0.2</v>
      </c>
      <c r="BK967">
        <v>1</v>
      </c>
      <c r="BL967">
        <v>76.06</v>
      </c>
      <c r="BM967">
        <v>11.41</v>
      </c>
      <c r="BN967">
        <v>87.47</v>
      </c>
      <c r="BO967">
        <v>87.47</v>
      </c>
      <c r="BQ967" t="s">
        <v>499</v>
      </c>
      <c r="BR967" t="s">
        <v>82</v>
      </c>
      <c r="BS967" s="3">
        <v>46000</v>
      </c>
      <c r="BT967" s="4">
        <v>0.47986111111111113</v>
      </c>
      <c r="BU967" t="s">
        <v>1739</v>
      </c>
      <c r="BV967" t="s">
        <v>87</v>
      </c>
      <c r="BW967" t="s">
        <v>186</v>
      </c>
      <c r="BX967" t="s">
        <v>247</v>
      </c>
      <c r="BY967">
        <v>1200</v>
      </c>
      <c r="CC967" t="s">
        <v>101</v>
      </c>
      <c r="CD967">
        <v>4052</v>
      </c>
      <c r="CE967" t="s">
        <v>134</v>
      </c>
      <c r="CF967" s="3">
        <v>46001</v>
      </c>
      <c r="CI967">
        <v>1</v>
      </c>
      <c r="CJ967">
        <v>1</v>
      </c>
      <c r="CK967">
        <v>21</v>
      </c>
      <c r="CL967" t="s">
        <v>87</v>
      </c>
    </row>
    <row r="968" spans="1:90" x14ac:dyDescent="0.3">
      <c r="A968" t="s">
        <v>72</v>
      </c>
      <c r="B968" t="s">
        <v>73</v>
      </c>
      <c r="C968" t="s">
        <v>74</v>
      </c>
      <c r="E968" t="str">
        <f>"080069751130"</f>
        <v>080069751130</v>
      </c>
      <c r="F968" s="3">
        <v>45999</v>
      </c>
      <c r="G968">
        <v>202609</v>
      </c>
      <c r="H968" t="s">
        <v>75</v>
      </c>
      <c r="I968" t="s">
        <v>76</v>
      </c>
      <c r="J968" t="s">
        <v>77</v>
      </c>
      <c r="K968" t="s">
        <v>78</v>
      </c>
      <c r="L968" t="s">
        <v>1654</v>
      </c>
      <c r="M968" t="s">
        <v>1655</v>
      </c>
      <c r="N968" t="s">
        <v>1656</v>
      </c>
      <c r="O968" t="s">
        <v>89</v>
      </c>
      <c r="P968" t="str">
        <f>"4170072361                    "</f>
        <v xml:space="preserve">4170072361                    </v>
      </c>
      <c r="Q968">
        <v>0</v>
      </c>
      <c r="R968">
        <v>0</v>
      </c>
      <c r="S968">
        <v>0</v>
      </c>
      <c r="T968">
        <v>0</v>
      </c>
      <c r="U968">
        <v>0</v>
      </c>
      <c r="V968">
        <v>0</v>
      </c>
      <c r="W968">
        <v>0</v>
      </c>
      <c r="X968">
        <v>0</v>
      </c>
      <c r="Y968">
        <v>0</v>
      </c>
      <c r="Z968">
        <v>0</v>
      </c>
      <c r="AA968">
        <v>0</v>
      </c>
      <c r="AB968">
        <v>0</v>
      </c>
      <c r="AC968">
        <v>0</v>
      </c>
      <c r="AD968">
        <v>0</v>
      </c>
      <c r="AE968">
        <v>0</v>
      </c>
      <c r="AF968">
        <v>0</v>
      </c>
      <c r="AG968">
        <v>0</v>
      </c>
      <c r="AH968">
        <v>0</v>
      </c>
      <c r="AI968">
        <v>0</v>
      </c>
      <c r="AJ968">
        <v>0</v>
      </c>
      <c r="AK968">
        <v>0</v>
      </c>
      <c r="AL968">
        <v>0</v>
      </c>
      <c r="AM968">
        <v>0</v>
      </c>
      <c r="AN968">
        <v>0</v>
      </c>
      <c r="AO968">
        <v>0</v>
      </c>
      <c r="AP968">
        <v>0</v>
      </c>
      <c r="AQ968">
        <v>49.45</v>
      </c>
      <c r="AR968">
        <v>0</v>
      </c>
      <c r="AS968">
        <v>0</v>
      </c>
      <c r="AT968">
        <v>0</v>
      </c>
      <c r="AU968">
        <v>0</v>
      </c>
      <c r="AV968">
        <v>0</v>
      </c>
      <c r="AW968">
        <v>0</v>
      </c>
      <c r="AX968">
        <v>0</v>
      </c>
      <c r="AY968">
        <v>0</v>
      </c>
      <c r="AZ968">
        <v>0</v>
      </c>
      <c r="BA968">
        <v>0</v>
      </c>
      <c r="BB968">
        <v>0</v>
      </c>
      <c r="BC968">
        <v>0</v>
      </c>
      <c r="BD968">
        <v>0</v>
      </c>
      <c r="BE968">
        <v>0</v>
      </c>
      <c r="BF968">
        <v>0</v>
      </c>
      <c r="BG968">
        <v>0</v>
      </c>
      <c r="BH968">
        <v>1</v>
      </c>
      <c r="BI968">
        <v>1</v>
      </c>
      <c r="BJ968">
        <v>0.2</v>
      </c>
      <c r="BK968">
        <v>1</v>
      </c>
      <c r="BL968">
        <v>147.38</v>
      </c>
      <c r="BM968">
        <v>22.11</v>
      </c>
      <c r="BN968">
        <v>169.49</v>
      </c>
      <c r="BO968">
        <v>169.49</v>
      </c>
      <c r="BQ968" t="s">
        <v>1657</v>
      </c>
      <c r="BR968" t="s">
        <v>82</v>
      </c>
      <c r="BS968" s="3">
        <v>46001</v>
      </c>
      <c r="BT968" s="4">
        <v>0.63194444444444442</v>
      </c>
      <c r="BU968" t="s">
        <v>1740</v>
      </c>
      <c r="BV968" t="s">
        <v>87</v>
      </c>
      <c r="BY968">
        <v>1200</v>
      </c>
      <c r="CA968" t="s">
        <v>432</v>
      </c>
      <c r="CC968" t="s">
        <v>1655</v>
      </c>
      <c r="CD968">
        <v>3310</v>
      </c>
      <c r="CE968" t="s">
        <v>134</v>
      </c>
      <c r="CF968" s="3">
        <v>46002</v>
      </c>
      <c r="CI968">
        <v>1</v>
      </c>
      <c r="CJ968">
        <v>2</v>
      </c>
      <c r="CK968">
        <v>23</v>
      </c>
      <c r="CL968" t="s">
        <v>87</v>
      </c>
    </row>
    <row r="969" spans="1:90" x14ac:dyDescent="0.3">
      <c r="A969" t="s">
        <v>72</v>
      </c>
      <c r="B969" t="s">
        <v>73</v>
      </c>
      <c r="C969" t="s">
        <v>74</v>
      </c>
      <c r="E969" t="str">
        <f>"080069751170"</f>
        <v>080069751170</v>
      </c>
      <c r="F969" s="3">
        <v>45999</v>
      </c>
      <c r="G969">
        <v>202609</v>
      </c>
      <c r="H969" t="s">
        <v>75</v>
      </c>
      <c r="I969" t="s">
        <v>76</v>
      </c>
      <c r="J969" t="s">
        <v>77</v>
      </c>
      <c r="K969" t="s">
        <v>78</v>
      </c>
      <c r="L969" t="s">
        <v>625</v>
      </c>
      <c r="M969" t="s">
        <v>626</v>
      </c>
      <c r="N969" t="s">
        <v>746</v>
      </c>
      <c r="O969" t="s">
        <v>89</v>
      </c>
      <c r="P969" t="str">
        <f>"4170072313                    "</f>
        <v xml:space="preserve">4170072313                    </v>
      </c>
      <c r="Q969">
        <v>0</v>
      </c>
      <c r="R969">
        <v>0</v>
      </c>
      <c r="S969">
        <v>0</v>
      </c>
      <c r="T969">
        <v>0</v>
      </c>
      <c r="U969">
        <v>0</v>
      </c>
      <c r="V969">
        <v>0</v>
      </c>
      <c r="W969">
        <v>0</v>
      </c>
      <c r="X969">
        <v>0</v>
      </c>
      <c r="Y969">
        <v>0</v>
      </c>
      <c r="Z969">
        <v>0</v>
      </c>
      <c r="AA969">
        <v>0</v>
      </c>
      <c r="AB969">
        <v>0</v>
      </c>
      <c r="AC969">
        <v>0</v>
      </c>
      <c r="AD969">
        <v>0</v>
      </c>
      <c r="AE969">
        <v>0</v>
      </c>
      <c r="AF969">
        <v>0</v>
      </c>
      <c r="AG969">
        <v>0</v>
      </c>
      <c r="AH969">
        <v>0</v>
      </c>
      <c r="AI969">
        <v>0</v>
      </c>
      <c r="AJ969">
        <v>0</v>
      </c>
      <c r="AK969">
        <v>0</v>
      </c>
      <c r="AL969">
        <v>0</v>
      </c>
      <c r="AM969">
        <v>0</v>
      </c>
      <c r="AN969">
        <v>0</v>
      </c>
      <c r="AO969">
        <v>0</v>
      </c>
      <c r="AP969">
        <v>0</v>
      </c>
      <c r="AQ969">
        <v>25.52</v>
      </c>
      <c r="AR969">
        <v>0</v>
      </c>
      <c r="AS969">
        <v>0</v>
      </c>
      <c r="AT969">
        <v>0</v>
      </c>
      <c r="AU969">
        <v>0</v>
      </c>
      <c r="AV969">
        <v>0</v>
      </c>
      <c r="AW969">
        <v>0</v>
      </c>
      <c r="AX969">
        <v>0</v>
      </c>
      <c r="AY969">
        <v>0</v>
      </c>
      <c r="AZ969">
        <v>0</v>
      </c>
      <c r="BA969">
        <v>0</v>
      </c>
      <c r="BB969">
        <v>0</v>
      </c>
      <c r="BC969">
        <v>0</v>
      </c>
      <c r="BD969">
        <v>0</v>
      </c>
      <c r="BE969">
        <v>0</v>
      </c>
      <c r="BF969">
        <v>0</v>
      </c>
      <c r="BG969">
        <v>0</v>
      </c>
      <c r="BH969">
        <v>1</v>
      </c>
      <c r="BI969">
        <v>1</v>
      </c>
      <c r="BJ969">
        <v>0.2</v>
      </c>
      <c r="BK969">
        <v>1</v>
      </c>
      <c r="BL969">
        <v>76.06</v>
      </c>
      <c r="BM969">
        <v>11.41</v>
      </c>
      <c r="BN969">
        <v>87.47</v>
      </c>
      <c r="BO969">
        <v>87.47</v>
      </c>
      <c r="BQ969" t="s">
        <v>747</v>
      </c>
      <c r="BR969" t="s">
        <v>82</v>
      </c>
      <c r="BS969" s="3">
        <v>46000</v>
      </c>
      <c r="BT969" s="4">
        <v>0.4375</v>
      </c>
      <c r="BU969" t="s">
        <v>748</v>
      </c>
      <c r="BV969" t="s">
        <v>84</v>
      </c>
      <c r="BY969">
        <v>1200</v>
      </c>
      <c r="CA969" t="s">
        <v>1541</v>
      </c>
      <c r="CC969" t="s">
        <v>626</v>
      </c>
      <c r="CD969">
        <v>4026</v>
      </c>
      <c r="CE969" t="s">
        <v>134</v>
      </c>
      <c r="CF969" s="3">
        <v>46001</v>
      </c>
      <c r="CI969">
        <v>1</v>
      </c>
      <c r="CJ969">
        <v>1</v>
      </c>
      <c r="CK969">
        <v>21</v>
      </c>
      <c r="CL969" t="s">
        <v>87</v>
      </c>
    </row>
    <row r="970" spans="1:90" x14ac:dyDescent="0.3">
      <c r="A970" t="s">
        <v>72</v>
      </c>
      <c r="B970" t="s">
        <v>73</v>
      </c>
      <c r="C970" t="s">
        <v>74</v>
      </c>
      <c r="E970" t="str">
        <f>"080069751333"</f>
        <v>080069751333</v>
      </c>
      <c r="F970" s="3">
        <v>45999</v>
      </c>
      <c r="G970">
        <v>202609</v>
      </c>
      <c r="H970" t="s">
        <v>75</v>
      </c>
      <c r="I970" t="s">
        <v>76</v>
      </c>
      <c r="J970" t="s">
        <v>77</v>
      </c>
      <c r="K970" t="s">
        <v>78</v>
      </c>
      <c r="L970" t="s">
        <v>100</v>
      </c>
      <c r="M970" t="s">
        <v>101</v>
      </c>
      <c r="N970" t="s">
        <v>777</v>
      </c>
      <c r="O970" t="s">
        <v>89</v>
      </c>
      <c r="P970" t="str">
        <f>"4170072430                    "</f>
        <v xml:space="preserve">4170072430                    </v>
      </c>
      <c r="Q970">
        <v>0</v>
      </c>
      <c r="R970">
        <v>0</v>
      </c>
      <c r="S970">
        <v>0</v>
      </c>
      <c r="T970">
        <v>0</v>
      </c>
      <c r="U970">
        <v>0</v>
      </c>
      <c r="V970">
        <v>0</v>
      </c>
      <c r="W970">
        <v>0</v>
      </c>
      <c r="X970">
        <v>0</v>
      </c>
      <c r="Y970">
        <v>0</v>
      </c>
      <c r="Z970">
        <v>0</v>
      </c>
      <c r="AA970">
        <v>0</v>
      </c>
      <c r="AB970">
        <v>0</v>
      </c>
      <c r="AC970">
        <v>0</v>
      </c>
      <c r="AD970">
        <v>0</v>
      </c>
      <c r="AE970">
        <v>0</v>
      </c>
      <c r="AF970">
        <v>0</v>
      </c>
      <c r="AG970">
        <v>0</v>
      </c>
      <c r="AH970">
        <v>0</v>
      </c>
      <c r="AI970">
        <v>0</v>
      </c>
      <c r="AJ970">
        <v>0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25.52</v>
      </c>
      <c r="AR970">
        <v>0</v>
      </c>
      <c r="AS970">
        <v>0</v>
      </c>
      <c r="AT970">
        <v>0</v>
      </c>
      <c r="AU970">
        <v>0</v>
      </c>
      <c r="AV970">
        <v>0</v>
      </c>
      <c r="AW970">
        <v>0</v>
      </c>
      <c r="AX970">
        <v>0</v>
      </c>
      <c r="AY970">
        <v>0</v>
      </c>
      <c r="AZ970">
        <v>0</v>
      </c>
      <c r="BA970">
        <v>0</v>
      </c>
      <c r="BB970">
        <v>0</v>
      </c>
      <c r="BC970">
        <v>0</v>
      </c>
      <c r="BD970">
        <v>0</v>
      </c>
      <c r="BE970">
        <v>0</v>
      </c>
      <c r="BF970">
        <v>0</v>
      </c>
      <c r="BG970">
        <v>0</v>
      </c>
      <c r="BH970">
        <v>1</v>
      </c>
      <c r="BI970">
        <v>1</v>
      </c>
      <c r="BJ970">
        <v>0.2</v>
      </c>
      <c r="BK970">
        <v>1</v>
      </c>
      <c r="BL970">
        <v>76.06</v>
      </c>
      <c r="BM970">
        <v>11.41</v>
      </c>
      <c r="BN970">
        <v>87.47</v>
      </c>
      <c r="BO970">
        <v>87.47</v>
      </c>
      <c r="BQ970" t="s">
        <v>778</v>
      </c>
      <c r="BR970" t="s">
        <v>82</v>
      </c>
      <c r="BS970" s="3">
        <v>46000</v>
      </c>
      <c r="BT970" s="4">
        <v>0.38333333333333336</v>
      </c>
      <c r="BU970" t="s">
        <v>1741</v>
      </c>
      <c r="BV970" t="s">
        <v>84</v>
      </c>
      <c r="BY970">
        <v>1200</v>
      </c>
      <c r="CA970" t="s">
        <v>1541</v>
      </c>
      <c r="CC970" t="s">
        <v>101</v>
      </c>
      <c r="CD970">
        <v>4052</v>
      </c>
      <c r="CE970" t="s">
        <v>134</v>
      </c>
      <c r="CF970" s="3">
        <v>46001</v>
      </c>
      <c r="CI970">
        <v>1</v>
      </c>
      <c r="CJ970">
        <v>1</v>
      </c>
      <c r="CK970">
        <v>21</v>
      </c>
      <c r="CL970" t="s">
        <v>87</v>
      </c>
    </row>
    <row r="971" spans="1:90" x14ac:dyDescent="0.3">
      <c r="A971" t="s">
        <v>72</v>
      </c>
      <c r="B971" t="s">
        <v>73</v>
      </c>
      <c r="C971" t="s">
        <v>74</v>
      </c>
      <c r="E971" t="str">
        <f>"080069751403"</f>
        <v>080069751403</v>
      </c>
      <c r="F971" s="3">
        <v>45999</v>
      </c>
      <c r="G971">
        <v>202609</v>
      </c>
      <c r="H971" t="s">
        <v>75</v>
      </c>
      <c r="I971" t="s">
        <v>76</v>
      </c>
      <c r="J971" t="s">
        <v>77</v>
      </c>
      <c r="K971" t="s">
        <v>78</v>
      </c>
      <c r="L971" t="s">
        <v>75</v>
      </c>
      <c r="M971" t="s">
        <v>76</v>
      </c>
      <c r="N971" t="s">
        <v>195</v>
      </c>
      <c r="O971" t="s">
        <v>89</v>
      </c>
      <c r="P971" t="str">
        <f>"4170072409                    "</f>
        <v xml:space="preserve">4170072409                    </v>
      </c>
      <c r="Q971">
        <v>0</v>
      </c>
      <c r="R971">
        <v>0</v>
      </c>
      <c r="S971">
        <v>0</v>
      </c>
      <c r="T971">
        <v>0</v>
      </c>
      <c r="U971">
        <v>0</v>
      </c>
      <c r="V971">
        <v>0</v>
      </c>
      <c r="W971">
        <v>0</v>
      </c>
      <c r="X971">
        <v>0</v>
      </c>
      <c r="Y971">
        <v>0</v>
      </c>
      <c r="Z971">
        <v>0</v>
      </c>
      <c r="AA971">
        <v>0</v>
      </c>
      <c r="AB971">
        <v>0</v>
      </c>
      <c r="AC971">
        <v>0</v>
      </c>
      <c r="AD971">
        <v>0</v>
      </c>
      <c r="AE971">
        <v>0</v>
      </c>
      <c r="AF971">
        <v>0</v>
      </c>
      <c r="AG971">
        <v>0</v>
      </c>
      <c r="AH971">
        <v>0</v>
      </c>
      <c r="AI971">
        <v>0</v>
      </c>
      <c r="AJ971">
        <v>0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19.940000000000001</v>
      </c>
      <c r="AR971">
        <v>0</v>
      </c>
      <c r="AS971">
        <v>0</v>
      </c>
      <c r="AT971">
        <v>0</v>
      </c>
      <c r="AU971">
        <v>0</v>
      </c>
      <c r="AV971">
        <v>0</v>
      </c>
      <c r="AW971">
        <v>0</v>
      </c>
      <c r="AX971">
        <v>0</v>
      </c>
      <c r="AY971">
        <v>0</v>
      </c>
      <c r="AZ971">
        <v>0</v>
      </c>
      <c r="BA971">
        <v>0</v>
      </c>
      <c r="BB971">
        <v>0</v>
      </c>
      <c r="BC971">
        <v>0</v>
      </c>
      <c r="BD971">
        <v>0</v>
      </c>
      <c r="BE971">
        <v>0</v>
      </c>
      <c r="BF971">
        <v>0</v>
      </c>
      <c r="BG971">
        <v>0</v>
      </c>
      <c r="BH971">
        <v>1</v>
      </c>
      <c r="BI971">
        <v>1</v>
      </c>
      <c r="BJ971">
        <v>0.2</v>
      </c>
      <c r="BK971">
        <v>1</v>
      </c>
      <c r="BL971">
        <v>59.42</v>
      </c>
      <c r="BM971">
        <v>8.91</v>
      </c>
      <c r="BN971">
        <v>68.33</v>
      </c>
      <c r="BO971">
        <v>68.33</v>
      </c>
      <c r="BQ971" t="s">
        <v>196</v>
      </c>
      <c r="BR971" t="s">
        <v>82</v>
      </c>
      <c r="BS971" s="3">
        <v>46000</v>
      </c>
      <c r="BT971" s="4">
        <v>0.31944444444444442</v>
      </c>
      <c r="BU971" t="s">
        <v>83</v>
      </c>
      <c r="BV971" t="s">
        <v>84</v>
      </c>
      <c r="BY971">
        <v>1200</v>
      </c>
      <c r="CA971" t="s">
        <v>92</v>
      </c>
      <c r="CC971" t="s">
        <v>76</v>
      </c>
      <c r="CD971">
        <v>1600</v>
      </c>
      <c r="CE971" t="s">
        <v>134</v>
      </c>
      <c r="CF971" s="3">
        <v>46001</v>
      </c>
      <c r="CI971">
        <v>1</v>
      </c>
      <c r="CJ971">
        <v>1</v>
      </c>
      <c r="CK971">
        <v>22</v>
      </c>
      <c r="CL971" t="s">
        <v>87</v>
      </c>
    </row>
    <row r="972" spans="1:90" x14ac:dyDescent="0.3">
      <c r="A972" t="s">
        <v>72</v>
      </c>
      <c r="B972" t="s">
        <v>73</v>
      </c>
      <c r="C972" t="s">
        <v>74</v>
      </c>
      <c r="E972" t="str">
        <f>"080069751429"</f>
        <v>080069751429</v>
      </c>
      <c r="F972" s="3">
        <v>45999</v>
      </c>
      <c r="G972">
        <v>202609</v>
      </c>
      <c r="H972" t="s">
        <v>75</v>
      </c>
      <c r="I972" t="s">
        <v>76</v>
      </c>
      <c r="J972" t="s">
        <v>77</v>
      </c>
      <c r="K972" t="s">
        <v>78</v>
      </c>
      <c r="L972" t="s">
        <v>692</v>
      </c>
      <c r="M972" t="s">
        <v>693</v>
      </c>
      <c r="N972" t="s">
        <v>694</v>
      </c>
      <c r="O972" t="s">
        <v>89</v>
      </c>
      <c r="P972" t="str">
        <f>"4170072463                    "</f>
        <v xml:space="preserve">4170072463                    </v>
      </c>
      <c r="Q972">
        <v>0</v>
      </c>
      <c r="R972">
        <v>0</v>
      </c>
      <c r="S972">
        <v>0</v>
      </c>
      <c r="T972">
        <v>0</v>
      </c>
      <c r="U972">
        <v>0</v>
      </c>
      <c r="V972">
        <v>0</v>
      </c>
      <c r="W972">
        <v>0</v>
      </c>
      <c r="X972">
        <v>0</v>
      </c>
      <c r="Y972">
        <v>0</v>
      </c>
      <c r="Z972">
        <v>0</v>
      </c>
      <c r="AA972">
        <v>0</v>
      </c>
      <c r="AB972">
        <v>0</v>
      </c>
      <c r="AC972">
        <v>0</v>
      </c>
      <c r="AD972">
        <v>0</v>
      </c>
      <c r="AE972">
        <v>0</v>
      </c>
      <c r="AF972">
        <v>0</v>
      </c>
      <c r="AG972">
        <v>0</v>
      </c>
      <c r="AH972">
        <v>0</v>
      </c>
      <c r="AI972">
        <v>0</v>
      </c>
      <c r="AJ972">
        <v>0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35.9</v>
      </c>
      <c r="AR972">
        <v>0</v>
      </c>
      <c r="AS972">
        <v>0</v>
      </c>
      <c r="AT972">
        <v>0</v>
      </c>
      <c r="AU972">
        <v>0</v>
      </c>
      <c r="AV972">
        <v>0</v>
      </c>
      <c r="AW972">
        <v>0</v>
      </c>
      <c r="AX972">
        <v>0</v>
      </c>
      <c r="AY972">
        <v>0</v>
      </c>
      <c r="AZ972">
        <v>0</v>
      </c>
      <c r="BA972">
        <v>0</v>
      </c>
      <c r="BB972">
        <v>0</v>
      </c>
      <c r="BC972">
        <v>0</v>
      </c>
      <c r="BD972">
        <v>0</v>
      </c>
      <c r="BE972">
        <v>0</v>
      </c>
      <c r="BF972">
        <v>0</v>
      </c>
      <c r="BG972">
        <v>0</v>
      </c>
      <c r="BH972">
        <v>1</v>
      </c>
      <c r="BI972">
        <v>1</v>
      </c>
      <c r="BJ972">
        <v>1.1000000000000001</v>
      </c>
      <c r="BK972">
        <v>1.5</v>
      </c>
      <c r="BL972">
        <v>106.98</v>
      </c>
      <c r="BM972">
        <v>16.05</v>
      </c>
      <c r="BN972">
        <v>123.03</v>
      </c>
      <c r="BO972">
        <v>123.03</v>
      </c>
      <c r="BQ972" t="s">
        <v>695</v>
      </c>
      <c r="BR972" t="s">
        <v>82</v>
      </c>
      <c r="BS972" s="3">
        <v>46000</v>
      </c>
      <c r="BT972" s="4">
        <v>0.44791666666666669</v>
      </c>
      <c r="BU972" t="s">
        <v>1742</v>
      </c>
      <c r="BV972" t="s">
        <v>84</v>
      </c>
      <c r="BY972">
        <v>5510</v>
      </c>
      <c r="CA972" t="s">
        <v>697</v>
      </c>
      <c r="CC972" t="s">
        <v>693</v>
      </c>
      <c r="CD972">
        <v>1759</v>
      </c>
      <c r="CE972" t="s">
        <v>86</v>
      </c>
      <c r="CF972" s="3">
        <v>46001</v>
      </c>
      <c r="CI972">
        <v>1</v>
      </c>
      <c r="CJ972">
        <v>1</v>
      </c>
      <c r="CK972">
        <v>24</v>
      </c>
      <c r="CL972" t="s">
        <v>87</v>
      </c>
    </row>
    <row r="973" spans="1:90" x14ac:dyDescent="0.3">
      <c r="A973" t="s">
        <v>72</v>
      </c>
      <c r="B973" t="s">
        <v>73</v>
      </c>
      <c r="C973" t="s">
        <v>74</v>
      </c>
      <c r="E973" t="str">
        <f>"080069751479"</f>
        <v>080069751479</v>
      </c>
      <c r="F973" s="3">
        <v>45999</v>
      </c>
      <c r="G973">
        <v>202609</v>
      </c>
      <c r="H973" t="s">
        <v>75</v>
      </c>
      <c r="I973" t="s">
        <v>76</v>
      </c>
      <c r="J973" t="s">
        <v>77</v>
      </c>
      <c r="K973" t="s">
        <v>78</v>
      </c>
      <c r="L973" t="s">
        <v>75</v>
      </c>
      <c r="M973" t="s">
        <v>76</v>
      </c>
      <c r="N973" t="s">
        <v>79</v>
      </c>
      <c r="O973" t="s">
        <v>89</v>
      </c>
      <c r="P973" t="str">
        <f>"4170072458                    "</f>
        <v xml:space="preserve">4170072458                    </v>
      </c>
      <c r="Q973">
        <v>0</v>
      </c>
      <c r="R973">
        <v>0</v>
      </c>
      <c r="S973">
        <v>0</v>
      </c>
      <c r="T973">
        <v>0</v>
      </c>
      <c r="U973">
        <v>0</v>
      </c>
      <c r="V973">
        <v>0</v>
      </c>
      <c r="W973">
        <v>0</v>
      </c>
      <c r="X973">
        <v>0</v>
      </c>
      <c r="Y973">
        <v>0</v>
      </c>
      <c r="Z973">
        <v>0</v>
      </c>
      <c r="AA973">
        <v>0</v>
      </c>
      <c r="AB973">
        <v>0</v>
      </c>
      <c r="AC973">
        <v>0</v>
      </c>
      <c r="AD973">
        <v>0</v>
      </c>
      <c r="AE973">
        <v>0</v>
      </c>
      <c r="AF973">
        <v>0</v>
      </c>
      <c r="AG973">
        <v>0</v>
      </c>
      <c r="AH973">
        <v>0</v>
      </c>
      <c r="AI973">
        <v>0</v>
      </c>
      <c r="AJ973">
        <v>0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19.940000000000001</v>
      </c>
      <c r="AR973">
        <v>0</v>
      </c>
      <c r="AS973">
        <v>0</v>
      </c>
      <c r="AT973">
        <v>0</v>
      </c>
      <c r="AU973">
        <v>0</v>
      </c>
      <c r="AV973">
        <v>0</v>
      </c>
      <c r="AW973">
        <v>0</v>
      </c>
      <c r="AX973">
        <v>0</v>
      </c>
      <c r="AY973">
        <v>0</v>
      </c>
      <c r="AZ973">
        <v>0</v>
      </c>
      <c r="BA973">
        <v>0</v>
      </c>
      <c r="BB973">
        <v>0</v>
      </c>
      <c r="BC973">
        <v>0</v>
      </c>
      <c r="BD973">
        <v>0</v>
      </c>
      <c r="BE973">
        <v>0</v>
      </c>
      <c r="BF973">
        <v>0</v>
      </c>
      <c r="BG973">
        <v>0</v>
      </c>
      <c r="BH973">
        <v>1</v>
      </c>
      <c r="BI973">
        <v>3</v>
      </c>
      <c r="BJ973">
        <v>0.9</v>
      </c>
      <c r="BK973">
        <v>3</v>
      </c>
      <c r="BL973">
        <v>59.42</v>
      </c>
      <c r="BM973">
        <v>8.91</v>
      </c>
      <c r="BN973">
        <v>68.33</v>
      </c>
      <c r="BO973">
        <v>68.33</v>
      </c>
      <c r="BQ973" t="s">
        <v>81</v>
      </c>
      <c r="BR973" t="s">
        <v>82</v>
      </c>
      <c r="BS973" s="3">
        <v>46000</v>
      </c>
      <c r="BT973" s="4">
        <v>0.37638888888888888</v>
      </c>
      <c r="BU973" t="s">
        <v>83</v>
      </c>
      <c r="BV973" t="s">
        <v>84</v>
      </c>
      <c r="BY973">
        <v>4275</v>
      </c>
      <c r="CA973" t="s">
        <v>85</v>
      </c>
      <c r="CC973" t="s">
        <v>76</v>
      </c>
      <c r="CD973">
        <v>1619</v>
      </c>
      <c r="CE973" t="s">
        <v>86</v>
      </c>
      <c r="CF973" s="3">
        <v>46000</v>
      </c>
      <c r="CI973">
        <v>1</v>
      </c>
      <c r="CJ973">
        <v>1</v>
      </c>
      <c r="CK973">
        <v>22</v>
      </c>
      <c r="CL973" t="s">
        <v>87</v>
      </c>
    </row>
    <row r="974" spans="1:90" x14ac:dyDescent="0.3">
      <c r="A974" t="s">
        <v>72</v>
      </c>
      <c r="B974" t="s">
        <v>73</v>
      </c>
      <c r="C974" t="s">
        <v>74</v>
      </c>
      <c r="E974" t="str">
        <f>"080069751523"</f>
        <v>080069751523</v>
      </c>
      <c r="F974" s="3">
        <v>45999</v>
      </c>
      <c r="G974">
        <v>202609</v>
      </c>
      <c r="H974" t="s">
        <v>75</v>
      </c>
      <c r="I974" t="s">
        <v>76</v>
      </c>
      <c r="J974" t="s">
        <v>77</v>
      </c>
      <c r="K974" t="s">
        <v>78</v>
      </c>
      <c r="L974" t="s">
        <v>176</v>
      </c>
      <c r="M974" t="s">
        <v>177</v>
      </c>
      <c r="N974" t="s">
        <v>1063</v>
      </c>
      <c r="O974" t="s">
        <v>89</v>
      </c>
      <c r="P974" t="str">
        <f>"4170072309                    "</f>
        <v xml:space="preserve">4170072309                    </v>
      </c>
      <c r="Q974">
        <v>0</v>
      </c>
      <c r="R974">
        <v>0</v>
      </c>
      <c r="S974">
        <v>0</v>
      </c>
      <c r="T974">
        <v>0</v>
      </c>
      <c r="U974">
        <v>0</v>
      </c>
      <c r="V974">
        <v>0</v>
      </c>
      <c r="W974">
        <v>0</v>
      </c>
      <c r="X974">
        <v>0</v>
      </c>
      <c r="Y974">
        <v>0</v>
      </c>
      <c r="Z974">
        <v>0</v>
      </c>
      <c r="AA974">
        <v>0</v>
      </c>
      <c r="AB974">
        <v>0</v>
      </c>
      <c r="AC974">
        <v>0</v>
      </c>
      <c r="AD974">
        <v>0</v>
      </c>
      <c r="AE974">
        <v>0</v>
      </c>
      <c r="AF974">
        <v>0</v>
      </c>
      <c r="AG974">
        <v>0</v>
      </c>
      <c r="AH974">
        <v>0</v>
      </c>
      <c r="AI974">
        <v>0</v>
      </c>
      <c r="AJ974">
        <v>0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19.940000000000001</v>
      </c>
      <c r="AR974">
        <v>0</v>
      </c>
      <c r="AS974">
        <v>0</v>
      </c>
      <c r="AT974">
        <v>0</v>
      </c>
      <c r="AU974">
        <v>0</v>
      </c>
      <c r="AV974">
        <v>0</v>
      </c>
      <c r="AW974">
        <v>0</v>
      </c>
      <c r="AX974">
        <v>0</v>
      </c>
      <c r="AY974">
        <v>0</v>
      </c>
      <c r="AZ974">
        <v>0</v>
      </c>
      <c r="BA974">
        <v>0</v>
      </c>
      <c r="BB974">
        <v>0</v>
      </c>
      <c r="BC974">
        <v>0</v>
      </c>
      <c r="BD974">
        <v>0</v>
      </c>
      <c r="BE974">
        <v>0</v>
      </c>
      <c r="BF974">
        <v>0</v>
      </c>
      <c r="BG974">
        <v>0</v>
      </c>
      <c r="BH974">
        <v>1</v>
      </c>
      <c r="BI974">
        <v>3</v>
      </c>
      <c r="BJ974">
        <v>1.4</v>
      </c>
      <c r="BK974">
        <v>3</v>
      </c>
      <c r="BL974">
        <v>59.42</v>
      </c>
      <c r="BM974">
        <v>8.91</v>
      </c>
      <c r="BN974">
        <v>68.33</v>
      </c>
      <c r="BO974">
        <v>68.33</v>
      </c>
      <c r="BQ974" t="s">
        <v>1064</v>
      </c>
      <c r="BR974" t="s">
        <v>82</v>
      </c>
      <c r="BS974" s="3">
        <v>46000</v>
      </c>
      <c r="BT974" s="4">
        <v>0.4201388888888889</v>
      </c>
      <c r="BU974" t="s">
        <v>1743</v>
      </c>
      <c r="BV974" t="s">
        <v>84</v>
      </c>
      <c r="BY974">
        <v>7000</v>
      </c>
      <c r="CA974" t="s">
        <v>182</v>
      </c>
      <c r="CC974" t="s">
        <v>177</v>
      </c>
      <c r="CD974">
        <v>2197</v>
      </c>
      <c r="CE974" t="s">
        <v>86</v>
      </c>
      <c r="CF974" s="3">
        <v>46001</v>
      </c>
      <c r="CI974">
        <v>1</v>
      </c>
      <c r="CJ974">
        <v>1</v>
      </c>
      <c r="CK974">
        <v>22</v>
      </c>
      <c r="CL974" t="s">
        <v>87</v>
      </c>
    </row>
    <row r="975" spans="1:90" x14ac:dyDescent="0.3">
      <c r="A975" t="s">
        <v>72</v>
      </c>
      <c r="B975" t="s">
        <v>73</v>
      </c>
      <c r="C975" t="s">
        <v>74</v>
      </c>
      <c r="E975" t="str">
        <f>"080069752344"</f>
        <v>080069752344</v>
      </c>
      <c r="F975" s="3">
        <v>45999</v>
      </c>
      <c r="G975">
        <v>202609</v>
      </c>
      <c r="H975" t="s">
        <v>75</v>
      </c>
      <c r="I975" t="s">
        <v>76</v>
      </c>
      <c r="J975" t="s">
        <v>77</v>
      </c>
      <c r="K975" t="s">
        <v>78</v>
      </c>
      <c r="L975" t="s">
        <v>302</v>
      </c>
      <c r="M975" t="s">
        <v>303</v>
      </c>
      <c r="N975" t="s">
        <v>1744</v>
      </c>
      <c r="O975" t="s">
        <v>89</v>
      </c>
      <c r="P975" t="str">
        <f>"4170072054                    "</f>
        <v xml:space="preserve">4170072054                    </v>
      </c>
      <c r="Q975">
        <v>0</v>
      </c>
      <c r="R975">
        <v>0</v>
      </c>
      <c r="S975">
        <v>0</v>
      </c>
      <c r="T975">
        <v>0</v>
      </c>
      <c r="U975">
        <v>0</v>
      </c>
      <c r="V975">
        <v>0</v>
      </c>
      <c r="W975">
        <v>0</v>
      </c>
      <c r="X975">
        <v>0</v>
      </c>
      <c r="Y975">
        <v>0</v>
      </c>
      <c r="Z975">
        <v>0</v>
      </c>
      <c r="AA975">
        <v>0</v>
      </c>
      <c r="AB975">
        <v>0</v>
      </c>
      <c r="AC975">
        <v>0</v>
      </c>
      <c r="AD975">
        <v>0</v>
      </c>
      <c r="AE975">
        <v>0</v>
      </c>
      <c r="AF975">
        <v>0</v>
      </c>
      <c r="AG975">
        <v>0</v>
      </c>
      <c r="AH975">
        <v>0</v>
      </c>
      <c r="AI975">
        <v>0</v>
      </c>
      <c r="AJ975">
        <v>0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25.52</v>
      </c>
      <c r="AR975">
        <v>0</v>
      </c>
      <c r="AS975">
        <v>0</v>
      </c>
      <c r="AT975">
        <v>0</v>
      </c>
      <c r="AU975">
        <v>0</v>
      </c>
      <c r="AV975">
        <v>0</v>
      </c>
      <c r="AW975">
        <v>0</v>
      </c>
      <c r="AX975">
        <v>0</v>
      </c>
      <c r="AY975">
        <v>0</v>
      </c>
      <c r="AZ975">
        <v>0</v>
      </c>
      <c r="BA975">
        <v>0</v>
      </c>
      <c r="BB975">
        <v>0</v>
      </c>
      <c r="BC975">
        <v>0</v>
      </c>
      <c r="BD975">
        <v>0</v>
      </c>
      <c r="BE975">
        <v>0</v>
      </c>
      <c r="BF975">
        <v>0</v>
      </c>
      <c r="BG975">
        <v>0</v>
      </c>
      <c r="BH975">
        <v>1</v>
      </c>
      <c r="BI975">
        <v>1</v>
      </c>
      <c r="BJ975">
        <v>0.2</v>
      </c>
      <c r="BK975">
        <v>1</v>
      </c>
      <c r="BL975">
        <v>76.06</v>
      </c>
      <c r="BM975">
        <v>11.41</v>
      </c>
      <c r="BN975">
        <v>87.47</v>
      </c>
      <c r="BO975">
        <v>87.47</v>
      </c>
      <c r="BQ975" t="s">
        <v>1745</v>
      </c>
      <c r="BR975" t="s">
        <v>82</v>
      </c>
      <c r="BS975" s="3">
        <v>46000</v>
      </c>
      <c r="BT975" s="4">
        <v>0.4375</v>
      </c>
      <c r="BU975" t="s">
        <v>1746</v>
      </c>
      <c r="BV975" t="s">
        <v>84</v>
      </c>
      <c r="BY975">
        <v>1200</v>
      </c>
      <c r="CA975">
        <v>8303236124087</v>
      </c>
      <c r="CC975" t="s">
        <v>303</v>
      </c>
      <c r="CD975" s="5" t="s">
        <v>307</v>
      </c>
      <c r="CE975" t="s">
        <v>134</v>
      </c>
      <c r="CF975" s="3">
        <v>46000</v>
      </c>
      <c r="CI975">
        <v>1</v>
      </c>
      <c r="CJ975">
        <v>1</v>
      </c>
      <c r="CK975">
        <v>21</v>
      </c>
      <c r="CL975" t="s">
        <v>87</v>
      </c>
    </row>
    <row r="976" spans="1:90" x14ac:dyDescent="0.3">
      <c r="A976" t="s">
        <v>72</v>
      </c>
      <c r="B976" t="s">
        <v>73</v>
      </c>
      <c r="C976" t="s">
        <v>74</v>
      </c>
      <c r="E976" t="str">
        <f>"080069752409"</f>
        <v>080069752409</v>
      </c>
      <c r="F976" s="3">
        <v>45999</v>
      </c>
      <c r="G976">
        <v>202609</v>
      </c>
      <c r="H976" t="s">
        <v>75</v>
      </c>
      <c r="I976" t="s">
        <v>76</v>
      </c>
      <c r="J976" t="s">
        <v>77</v>
      </c>
      <c r="K976" t="s">
        <v>78</v>
      </c>
      <c r="L976" t="s">
        <v>141</v>
      </c>
      <c r="M976" t="s">
        <v>142</v>
      </c>
      <c r="N976" t="s">
        <v>675</v>
      </c>
      <c r="O976" t="s">
        <v>80</v>
      </c>
      <c r="P976" t="str">
        <f>"4170072413                    "</f>
        <v xml:space="preserve">4170072413                    </v>
      </c>
      <c r="Q976">
        <v>0</v>
      </c>
      <c r="R976">
        <v>0</v>
      </c>
      <c r="S976">
        <v>0</v>
      </c>
      <c r="T976">
        <v>0</v>
      </c>
      <c r="U976">
        <v>0</v>
      </c>
      <c r="V976">
        <v>0</v>
      </c>
      <c r="W976">
        <v>0</v>
      </c>
      <c r="X976">
        <v>0</v>
      </c>
      <c r="Y976">
        <v>0</v>
      </c>
      <c r="Z976">
        <v>0</v>
      </c>
      <c r="AA976">
        <v>0</v>
      </c>
      <c r="AB976">
        <v>0</v>
      </c>
      <c r="AC976">
        <v>0</v>
      </c>
      <c r="AD976">
        <v>0</v>
      </c>
      <c r="AE976">
        <v>0</v>
      </c>
      <c r="AF976">
        <v>0</v>
      </c>
      <c r="AG976">
        <v>0</v>
      </c>
      <c r="AH976">
        <v>0</v>
      </c>
      <c r="AI976">
        <v>0</v>
      </c>
      <c r="AJ976">
        <v>0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102.4</v>
      </c>
      <c r="AR976">
        <v>0</v>
      </c>
      <c r="AS976">
        <v>0</v>
      </c>
      <c r="AT976">
        <v>0</v>
      </c>
      <c r="AU976">
        <v>0</v>
      </c>
      <c r="AV976">
        <v>0</v>
      </c>
      <c r="AW976">
        <v>0</v>
      </c>
      <c r="AX976">
        <v>0</v>
      </c>
      <c r="AY976">
        <v>0</v>
      </c>
      <c r="AZ976">
        <v>0</v>
      </c>
      <c r="BA976">
        <v>0</v>
      </c>
      <c r="BB976">
        <v>0</v>
      </c>
      <c r="BC976">
        <v>0</v>
      </c>
      <c r="BD976">
        <v>0</v>
      </c>
      <c r="BE976">
        <v>0</v>
      </c>
      <c r="BF976">
        <v>0</v>
      </c>
      <c r="BG976">
        <v>0</v>
      </c>
      <c r="BH976">
        <v>1</v>
      </c>
      <c r="BI976">
        <v>20</v>
      </c>
      <c r="BJ976">
        <v>40.299999999999997</v>
      </c>
      <c r="BK976">
        <v>41</v>
      </c>
      <c r="BL976">
        <v>311.27999999999997</v>
      </c>
      <c r="BM976">
        <v>46.69</v>
      </c>
      <c r="BN976">
        <v>357.97</v>
      </c>
      <c r="BO976">
        <v>357.97</v>
      </c>
      <c r="BQ976" t="s">
        <v>676</v>
      </c>
      <c r="BR976" t="s">
        <v>82</v>
      </c>
      <c r="BS976" s="3">
        <v>46002</v>
      </c>
      <c r="BT976" s="4">
        <v>0.40347222222222223</v>
      </c>
      <c r="BU976" t="s">
        <v>1747</v>
      </c>
      <c r="BV976" t="s">
        <v>84</v>
      </c>
      <c r="BY976">
        <v>201480</v>
      </c>
      <c r="CA976" t="s">
        <v>327</v>
      </c>
      <c r="CC976" t="s">
        <v>142</v>
      </c>
      <c r="CD976">
        <v>6001</v>
      </c>
      <c r="CE976" t="s">
        <v>86</v>
      </c>
      <c r="CF976" s="3">
        <v>46002</v>
      </c>
      <c r="CI976">
        <v>3</v>
      </c>
      <c r="CJ976">
        <v>3</v>
      </c>
      <c r="CK976">
        <v>41</v>
      </c>
      <c r="CL976" t="s">
        <v>87</v>
      </c>
    </row>
    <row r="977" spans="1:90" x14ac:dyDescent="0.3">
      <c r="A977" t="s">
        <v>72</v>
      </c>
      <c r="B977" t="s">
        <v>73</v>
      </c>
      <c r="C977" t="s">
        <v>74</v>
      </c>
      <c r="E977" t="str">
        <f>"080069752472"</f>
        <v>080069752472</v>
      </c>
      <c r="F977" s="3">
        <v>45999</v>
      </c>
      <c r="G977">
        <v>202609</v>
      </c>
      <c r="H977" t="s">
        <v>75</v>
      </c>
      <c r="I977" t="s">
        <v>76</v>
      </c>
      <c r="J977" t="s">
        <v>77</v>
      </c>
      <c r="K977" t="s">
        <v>78</v>
      </c>
      <c r="L977" t="s">
        <v>141</v>
      </c>
      <c r="M977" t="s">
        <v>142</v>
      </c>
      <c r="N977" t="s">
        <v>637</v>
      </c>
      <c r="O977" t="s">
        <v>80</v>
      </c>
      <c r="P977" t="str">
        <f>"4170072415                    "</f>
        <v xml:space="preserve">4170072415                    </v>
      </c>
      <c r="Q977">
        <v>0</v>
      </c>
      <c r="R977">
        <v>0</v>
      </c>
      <c r="S977">
        <v>0</v>
      </c>
      <c r="T977">
        <v>0</v>
      </c>
      <c r="U977">
        <v>0</v>
      </c>
      <c r="V977">
        <v>0</v>
      </c>
      <c r="W977">
        <v>0</v>
      </c>
      <c r="X977">
        <v>0</v>
      </c>
      <c r="Y977">
        <v>0</v>
      </c>
      <c r="Z977">
        <v>0</v>
      </c>
      <c r="AA977">
        <v>0</v>
      </c>
      <c r="AB977">
        <v>0</v>
      </c>
      <c r="AC977">
        <v>0</v>
      </c>
      <c r="AD977">
        <v>0</v>
      </c>
      <c r="AE977">
        <v>0</v>
      </c>
      <c r="AF977">
        <v>0</v>
      </c>
      <c r="AG977">
        <v>0</v>
      </c>
      <c r="AH977">
        <v>0</v>
      </c>
      <c r="AI977">
        <v>0</v>
      </c>
      <c r="AJ977">
        <v>0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86.08</v>
      </c>
      <c r="AR977">
        <v>0</v>
      </c>
      <c r="AS977">
        <v>0</v>
      </c>
      <c r="AT977">
        <v>0</v>
      </c>
      <c r="AU977">
        <v>0</v>
      </c>
      <c r="AV977">
        <v>0</v>
      </c>
      <c r="AW977">
        <v>0</v>
      </c>
      <c r="AX977">
        <v>0</v>
      </c>
      <c r="AY977">
        <v>0</v>
      </c>
      <c r="AZ977">
        <v>0</v>
      </c>
      <c r="BA977">
        <v>0</v>
      </c>
      <c r="BB977">
        <v>0</v>
      </c>
      <c r="BC977">
        <v>0</v>
      </c>
      <c r="BD977">
        <v>0</v>
      </c>
      <c r="BE977">
        <v>0</v>
      </c>
      <c r="BF977">
        <v>0</v>
      </c>
      <c r="BG977">
        <v>0</v>
      </c>
      <c r="BH977">
        <v>1</v>
      </c>
      <c r="BI977">
        <v>12</v>
      </c>
      <c r="BJ977">
        <v>32.6</v>
      </c>
      <c r="BK977">
        <v>33</v>
      </c>
      <c r="BL977">
        <v>262.64</v>
      </c>
      <c r="BM977">
        <v>39.4</v>
      </c>
      <c r="BN977">
        <v>302.04000000000002</v>
      </c>
      <c r="BO977">
        <v>302.04000000000002</v>
      </c>
      <c r="BQ977" t="s">
        <v>638</v>
      </c>
      <c r="BR977" t="s">
        <v>82</v>
      </c>
      <c r="BS977" s="3">
        <v>46002</v>
      </c>
      <c r="BT977" s="4">
        <v>0.39930555555555558</v>
      </c>
      <c r="BU977" t="s">
        <v>1660</v>
      </c>
      <c r="BV977" t="s">
        <v>84</v>
      </c>
      <c r="BY977">
        <v>162840</v>
      </c>
      <c r="CA977" t="s">
        <v>489</v>
      </c>
      <c r="CC977" t="s">
        <v>142</v>
      </c>
      <c r="CD977">
        <v>6001</v>
      </c>
      <c r="CE977" t="s">
        <v>86</v>
      </c>
      <c r="CF977" s="3">
        <v>46002</v>
      </c>
      <c r="CI977">
        <v>3</v>
      </c>
      <c r="CJ977">
        <v>3</v>
      </c>
      <c r="CK977">
        <v>41</v>
      </c>
      <c r="CL977" t="s">
        <v>87</v>
      </c>
    </row>
    <row r="978" spans="1:90" x14ac:dyDescent="0.3">
      <c r="A978" t="s">
        <v>72</v>
      </c>
      <c r="B978" t="s">
        <v>73</v>
      </c>
      <c r="C978" t="s">
        <v>74</v>
      </c>
      <c r="E978" t="str">
        <f>"080069752590"</f>
        <v>080069752590</v>
      </c>
      <c r="F978" s="3">
        <v>45999</v>
      </c>
      <c r="G978">
        <v>202609</v>
      </c>
      <c r="H978" t="s">
        <v>75</v>
      </c>
      <c r="I978" t="s">
        <v>76</v>
      </c>
      <c r="J978" t="s">
        <v>77</v>
      </c>
      <c r="K978" t="s">
        <v>78</v>
      </c>
      <c r="L978" t="s">
        <v>100</v>
      </c>
      <c r="M978" t="s">
        <v>101</v>
      </c>
      <c r="N978" t="s">
        <v>1554</v>
      </c>
      <c r="O978" t="s">
        <v>89</v>
      </c>
      <c r="P978" t="str">
        <f>"4170072396                    "</f>
        <v xml:space="preserve">4170072396                    </v>
      </c>
      <c r="Q978">
        <v>0</v>
      </c>
      <c r="R978">
        <v>0</v>
      </c>
      <c r="S978">
        <v>0</v>
      </c>
      <c r="T978">
        <v>0</v>
      </c>
      <c r="U978">
        <v>0</v>
      </c>
      <c r="V978">
        <v>0</v>
      </c>
      <c r="W978">
        <v>0</v>
      </c>
      <c r="X978">
        <v>0</v>
      </c>
      <c r="Y978">
        <v>0</v>
      </c>
      <c r="Z978">
        <v>0</v>
      </c>
      <c r="AA978">
        <v>0</v>
      </c>
      <c r="AB978">
        <v>0</v>
      </c>
      <c r="AC978">
        <v>0</v>
      </c>
      <c r="AD978">
        <v>0</v>
      </c>
      <c r="AE978">
        <v>0</v>
      </c>
      <c r="AF978">
        <v>0</v>
      </c>
      <c r="AG978">
        <v>0</v>
      </c>
      <c r="AH978">
        <v>0</v>
      </c>
      <c r="AI978">
        <v>0</v>
      </c>
      <c r="AJ978">
        <v>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25.52</v>
      </c>
      <c r="AR978">
        <v>0</v>
      </c>
      <c r="AS978">
        <v>0</v>
      </c>
      <c r="AT978">
        <v>0</v>
      </c>
      <c r="AU978">
        <v>0</v>
      </c>
      <c r="AV978">
        <v>0</v>
      </c>
      <c r="AW978">
        <v>0</v>
      </c>
      <c r="AX978">
        <v>0</v>
      </c>
      <c r="AY978">
        <v>0</v>
      </c>
      <c r="AZ978">
        <v>0</v>
      </c>
      <c r="BA978">
        <v>0</v>
      </c>
      <c r="BB978">
        <v>0</v>
      </c>
      <c r="BC978">
        <v>0</v>
      </c>
      <c r="BD978">
        <v>0</v>
      </c>
      <c r="BE978">
        <v>0</v>
      </c>
      <c r="BF978">
        <v>0</v>
      </c>
      <c r="BG978">
        <v>0</v>
      </c>
      <c r="BH978">
        <v>1</v>
      </c>
      <c r="BI978">
        <v>1</v>
      </c>
      <c r="BJ978">
        <v>1.8</v>
      </c>
      <c r="BK978">
        <v>2</v>
      </c>
      <c r="BL978">
        <v>76.06</v>
      </c>
      <c r="BM978">
        <v>11.41</v>
      </c>
      <c r="BN978">
        <v>87.47</v>
      </c>
      <c r="BO978">
        <v>87.47</v>
      </c>
      <c r="BQ978" t="s">
        <v>1555</v>
      </c>
      <c r="BR978" t="s">
        <v>82</v>
      </c>
      <c r="BS978" s="3">
        <v>46000</v>
      </c>
      <c r="BT978" s="4">
        <v>0.49305555555555558</v>
      </c>
      <c r="BU978" t="s">
        <v>1748</v>
      </c>
      <c r="BV978" t="s">
        <v>87</v>
      </c>
      <c r="BW978" t="s">
        <v>186</v>
      </c>
      <c r="BX978" t="s">
        <v>780</v>
      </c>
      <c r="BY978">
        <v>8816</v>
      </c>
      <c r="CA978" t="s">
        <v>1749</v>
      </c>
      <c r="CC978" t="s">
        <v>101</v>
      </c>
      <c r="CD978">
        <v>4001</v>
      </c>
      <c r="CE978" t="s">
        <v>86</v>
      </c>
      <c r="CF978" s="3">
        <v>46000</v>
      </c>
      <c r="CI978">
        <v>1</v>
      </c>
      <c r="CJ978">
        <v>1</v>
      </c>
      <c r="CK978">
        <v>21</v>
      </c>
      <c r="CL978" t="s">
        <v>87</v>
      </c>
    </row>
    <row r="979" spans="1:90" x14ac:dyDescent="0.3">
      <c r="A979" t="s">
        <v>72</v>
      </c>
      <c r="B979" t="s">
        <v>73</v>
      </c>
      <c r="C979" t="s">
        <v>74</v>
      </c>
      <c r="E979" t="str">
        <f>"080069753564"</f>
        <v>080069753564</v>
      </c>
      <c r="F979" s="3">
        <v>45999</v>
      </c>
      <c r="G979">
        <v>202609</v>
      </c>
      <c r="H979" t="s">
        <v>75</v>
      </c>
      <c r="I979" t="s">
        <v>76</v>
      </c>
      <c r="J979" t="s">
        <v>77</v>
      </c>
      <c r="K979" t="s">
        <v>78</v>
      </c>
      <c r="L979" t="s">
        <v>156</v>
      </c>
      <c r="M979" t="s">
        <v>157</v>
      </c>
      <c r="N979" t="s">
        <v>1750</v>
      </c>
      <c r="O979" t="s">
        <v>89</v>
      </c>
      <c r="P979" t="str">
        <f>"4170072446                    "</f>
        <v xml:space="preserve">4170072446                    </v>
      </c>
      <c r="Q979">
        <v>0</v>
      </c>
      <c r="R979">
        <v>0</v>
      </c>
      <c r="S979">
        <v>0</v>
      </c>
      <c r="T979">
        <v>0</v>
      </c>
      <c r="U979">
        <v>0</v>
      </c>
      <c r="V979">
        <v>0</v>
      </c>
      <c r="W979">
        <v>0</v>
      </c>
      <c r="X979">
        <v>0</v>
      </c>
      <c r="Y979">
        <v>0</v>
      </c>
      <c r="Z979">
        <v>0</v>
      </c>
      <c r="AA979">
        <v>0</v>
      </c>
      <c r="AB979">
        <v>0</v>
      </c>
      <c r="AC979">
        <v>0</v>
      </c>
      <c r="AD979">
        <v>0</v>
      </c>
      <c r="AE979">
        <v>0</v>
      </c>
      <c r="AF979">
        <v>0</v>
      </c>
      <c r="AG979">
        <v>0</v>
      </c>
      <c r="AH979">
        <v>0</v>
      </c>
      <c r="AI979">
        <v>0</v>
      </c>
      <c r="AJ979">
        <v>0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25.52</v>
      </c>
      <c r="AR979">
        <v>0</v>
      </c>
      <c r="AS979">
        <v>0</v>
      </c>
      <c r="AT979">
        <v>0</v>
      </c>
      <c r="AU979">
        <v>0</v>
      </c>
      <c r="AV979">
        <v>0</v>
      </c>
      <c r="AW979">
        <v>0</v>
      </c>
      <c r="AX979">
        <v>0</v>
      </c>
      <c r="AY979">
        <v>0</v>
      </c>
      <c r="AZ979">
        <v>0</v>
      </c>
      <c r="BA979">
        <v>0</v>
      </c>
      <c r="BB979">
        <v>0</v>
      </c>
      <c r="BC979">
        <v>0</v>
      </c>
      <c r="BD979">
        <v>0</v>
      </c>
      <c r="BE979">
        <v>0</v>
      </c>
      <c r="BF979">
        <v>0</v>
      </c>
      <c r="BG979">
        <v>0</v>
      </c>
      <c r="BH979">
        <v>1</v>
      </c>
      <c r="BI979">
        <v>1</v>
      </c>
      <c r="BJ979">
        <v>0.2</v>
      </c>
      <c r="BK979">
        <v>1</v>
      </c>
      <c r="BL979">
        <v>76.06</v>
      </c>
      <c r="BM979">
        <v>11.41</v>
      </c>
      <c r="BN979">
        <v>87.47</v>
      </c>
      <c r="BO979">
        <v>87.47</v>
      </c>
      <c r="BQ979" t="s">
        <v>1751</v>
      </c>
      <c r="BR979" t="s">
        <v>82</v>
      </c>
      <c r="BS979" s="3">
        <v>46000</v>
      </c>
      <c r="BT979" s="4">
        <v>0.38472222222222224</v>
      </c>
      <c r="BU979" t="s">
        <v>1752</v>
      </c>
      <c r="BV979" t="s">
        <v>84</v>
      </c>
      <c r="BY979">
        <v>1200</v>
      </c>
      <c r="CA979" t="s">
        <v>1753</v>
      </c>
      <c r="CC979" t="s">
        <v>157</v>
      </c>
      <c r="CD979">
        <v>7800</v>
      </c>
      <c r="CE979" t="s">
        <v>134</v>
      </c>
      <c r="CF979" s="3">
        <v>46001</v>
      </c>
      <c r="CI979">
        <v>1</v>
      </c>
      <c r="CJ979">
        <v>1</v>
      </c>
      <c r="CK979">
        <v>21</v>
      </c>
      <c r="CL979" t="s">
        <v>87</v>
      </c>
    </row>
    <row r="980" spans="1:90" x14ac:dyDescent="0.3">
      <c r="A980" t="s">
        <v>72</v>
      </c>
      <c r="B980" t="s">
        <v>73</v>
      </c>
      <c r="C980" t="s">
        <v>74</v>
      </c>
      <c r="E980" t="str">
        <f>"080069753604"</f>
        <v>080069753604</v>
      </c>
      <c r="F980" s="3">
        <v>45999</v>
      </c>
      <c r="G980">
        <v>202609</v>
      </c>
      <c r="H980" t="s">
        <v>75</v>
      </c>
      <c r="I980" t="s">
        <v>76</v>
      </c>
      <c r="J980" t="s">
        <v>77</v>
      </c>
      <c r="K980" t="s">
        <v>78</v>
      </c>
      <c r="L980" t="s">
        <v>202</v>
      </c>
      <c r="M980" t="s">
        <v>203</v>
      </c>
      <c r="N980" t="s">
        <v>204</v>
      </c>
      <c r="O980" t="s">
        <v>89</v>
      </c>
      <c r="P980" t="str">
        <f>"4170072411                    "</f>
        <v xml:space="preserve">4170072411                    </v>
      </c>
      <c r="Q980">
        <v>0</v>
      </c>
      <c r="R980">
        <v>0</v>
      </c>
      <c r="S980">
        <v>0</v>
      </c>
      <c r="T980">
        <v>0</v>
      </c>
      <c r="U980">
        <v>0</v>
      </c>
      <c r="V980">
        <v>0</v>
      </c>
      <c r="W980">
        <v>0</v>
      </c>
      <c r="X980">
        <v>0</v>
      </c>
      <c r="Y980">
        <v>0</v>
      </c>
      <c r="Z980">
        <v>0</v>
      </c>
      <c r="AA980">
        <v>0</v>
      </c>
      <c r="AB980">
        <v>0</v>
      </c>
      <c r="AC980">
        <v>0</v>
      </c>
      <c r="AD980">
        <v>0</v>
      </c>
      <c r="AE980">
        <v>0</v>
      </c>
      <c r="AF980">
        <v>0</v>
      </c>
      <c r="AG980">
        <v>0</v>
      </c>
      <c r="AH980">
        <v>0</v>
      </c>
      <c r="AI980">
        <v>0</v>
      </c>
      <c r="AJ980">
        <v>0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49.45</v>
      </c>
      <c r="AR980">
        <v>0</v>
      </c>
      <c r="AS980">
        <v>0</v>
      </c>
      <c r="AT980">
        <v>0</v>
      </c>
      <c r="AU980">
        <v>0</v>
      </c>
      <c r="AV980">
        <v>0</v>
      </c>
      <c r="AW980">
        <v>0</v>
      </c>
      <c r="AX980">
        <v>0</v>
      </c>
      <c r="AY980">
        <v>0</v>
      </c>
      <c r="AZ980">
        <v>0</v>
      </c>
      <c r="BA980">
        <v>0</v>
      </c>
      <c r="BB980">
        <v>0</v>
      </c>
      <c r="BC980">
        <v>0</v>
      </c>
      <c r="BD980">
        <v>0</v>
      </c>
      <c r="BE980">
        <v>0</v>
      </c>
      <c r="BF980">
        <v>0</v>
      </c>
      <c r="BG980">
        <v>0</v>
      </c>
      <c r="BH980">
        <v>1</v>
      </c>
      <c r="BI980">
        <v>1</v>
      </c>
      <c r="BJ980">
        <v>0.7</v>
      </c>
      <c r="BK980">
        <v>1</v>
      </c>
      <c r="BL980">
        <v>147.38</v>
      </c>
      <c r="BM980">
        <v>22.11</v>
      </c>
      <c r="BN980">
        <v>169.49</v>
      </c>
      <c r="BO980">
        <v>169.49</v>
      </c>
      <c r="BQ980" t="s">
        <v>205</v>
      </c>
      <c r="BR980" t="s">
        <v>82</v>
      </c>
      <c r="BS980" s="3">
        <v>46000</v>
      </c>
      <c r="BT980" s="4">
        <v>0.47638888888888886</v>
      </c>
      <c r="BU980" t="s">
        <v>1235</v>
      </c>
      <c r="BV980" t="s">
        <v>84</v>
      </c>
      <c r="BY980">
        <v>3306</v>
      </c>
      <c r="CA980">
        <v>7908245451080</v>
      </c>
      <c r="CC980" t="s">
        <v>203</v>
      </c>
      <c r="CD980">
        <v>2531</v>
      </c>
      <c r="CE980" t="s">
        <v>86</v>
      </c>
      <c r="CF980" s="3">
        <v>46001</v>
      </c>
      <c r="CI980">
        <v>1</v>
      </c>
      <c r="CJ980">
        <v>1</v>
      </c>
      <c r="CK980">
        <v>23</v>
      </c>
      <c r="CL980" t="s">
        <v>87</v>
      </c>
    </row>
    <row r="981" spans="1:90" x14ac:dyDescent="0.3">
      <c r="A981" t="s">
        <v>72</v>
      </c>
      <c r="B981" t="s">
        <v>73</v>
      </c>
      <c r="C981" t="s">
        <v>74</v>
      </c>
      <c r="E981" t="str">
        <f>"080069753662"</f>
        <v>080069753662</v>
      </c>
      <c r="F981" s="3">
        <v>45999</v>
      </c>
      <c r="G981">
        <v>202609</v>
      </c>
      <c r="H981" t="s">
        <v>75</v>
      </c>
      <c r="I981" t="s">
        <v>76</v>
      </c>
      <c r="J981" t="s">
        <v>77</v>
      </c>
      <c r="K981" t="s">
        <v>78</v>
      </c>
      <c r="L981" t="s">
        <v>208</v>
      </c>
      <c r="M981" t="s">
        <v>209</v>
      </c>
      <c r="N981" t="s">
        <v>210</v>
      </c>
      <c r="O981" t="s">
        <v>89</v>
      </c>
      <c r="P981" t="str">
        <f>"4170072436                    "</f>
        <v xml:space="preserve">4170072436                    </v>
      </c>
      <c r="Q981">
        <v>0</v>
      </c>
      <c r="R981">
        <v>0</v>
      </c>
      <c r="S981">
        <v>0</v>
      </c>
      <c r="T981">
        <v>0</v>
      </c>
      <c r="U981">
        <v>0</v>
      </c>
      <c r="V981">
        <v>0</v>
      </c>
      <c r="W981">
        <v>0</v>
      </c>
      <c r="X981">
        <v>0</v>
      </c>
      <c r="Y981">
        <v>0</v>
      </c>
      <c r="Z981">
        <v>0</v>
      </c>
      <c r="AA981">
        <v>0</v>
      </c>
      <c r="AB981">
        <v>0</v>
      </c>
      <c r="AC981">
        <v>0</v>
      </c>
      <c r="AD981">
        <v>0</v>
      </c>
      <c r="AE981">
        <v>0</v>
      </c>
      <c r="AF981">
        <v>0</v>
      </c>
      <c r="AG981">
        <v>0</v>
      </c>
      <c r="AH981">
        <v>0</v>
      </c>
      <c r="AI981">
        <v>0</v>
      </c>
      <c r="AJ981">
        <v>0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25.52</v>
      </c>
      <c r="AR981">
        <v>0</v>
      </c>
      <c r="AS981">
        <v>0</v>
      </c>
      <c r="AT981">
        <v>0</v>
      </c>
      <c r="AU981">
        <v>0</v>
      </c>
      <c r="AV981">
        <v>0</v>
      </c>
      <c r="AW981">
        <v>0</v>
      </c>
      <c r="AX981">
        <v>0</v>
      </c>
      <c r="AY981">
        <v>0</v>
      </c>
      <c r="AZ981">
        <v>0</v>
      </c>
      <c r="BA981">
        <v>0</v>
      </c>
      <c r="BB981">
        <v>0</v>
      </c>
      <c r="BC981">
        <v>0</v>
      </c>
      <c r="BD981">
        <v>0</v>
      </c>
      <c r="BE981">
        <v>0</v>
      </c>
      <c r="BF981">
        <v>0</v>
      </c>
      <c r="BG981">
        <v>0</v>
      </c>
      <c r="BH981">
        <v>1</v>
      </c>
      <c r="BI981">
        <v>1</v>
      </c>
      <c r="BJ981">
        <v>0.7</v>
      </c>
      <c r="BK981">
        <v>1</v>
      </c>
      <c r="BL981">
        <v>76.06</v>
      </c>
      <c r="BM981">
        <v>11.41</v>
      </c>
      <c r="BN981">
        <v>87.47</v>
      </c>
      <c r="BO981">
        <v>87.47</v>
      </c>
      <c r="BQ981" t="s">
        <v>211</v>
      </c>
      <c r="BR981" t="s">
        <v>82</v>
      </c>
      <c r="BS981" s="3">
        <v>46000</v>
      </c>
      <c r="BT981" s="4">
        <v>0.43263888888888891</v>
      </c>
      <c r="BU981" t="s">
        <v>212</v>
      </c>
      <c r="BV981" t="s">
        <v>84</v>
      </c>
      <c r="BY981">
        <v>3306</v>
      </c>
      <c r="CA981">
        <v>7712195338085</v>
      </c>
      <c r="CC981" t="s">
        <v>209</v>
      </c>
      <c r="CD981" s="5" t="s">
        <v>213</v>
      </c>
      <c r="CE981" t="s">
        <v>86</v>
      </c>
      <c r="CF981" s="3">
        <v>46000</v>
      </c>
      <c r="CI981">
        <v>1</v>
      </c>
      <c r="CJ981">
        <v>1</v>
      </c>
      <c r="CK981">
        <v>21</v>
      </c>
      <c r="CL981" t="s">
        <v>87</v>
      </c>
    </row>
    <row r="982" spans="1:90" x14ac:dyDescent="0.3">
      <c r="A982" t="s">
        <v>72</v>
      </c>
      <c r="B982" t="s">
        <v>73</v>
      </c>
      <c r="C982" t="s">
        <v>74</v>
      </c>
      <c r="E982" t="str">
        <f>"080069753622"</f>
        <v>080069753622</v>
      </c>
      <c r="F982" s="3">
        <v>45999</v>
      </c>
      <c r="G982">
        <v>202609</v>
      </c>
      <c r="H982" t="s">
        <v>75</v>
      </c>
      <c r="I982" t="s">
        <v>76</v>
      </c>
      <c r="J982" t="s">
        <v>77</v>
      </c>
      <c r="K982" t="s">
        <v>78</v>
      </c>
      <c r="L982" t="s">
        <v>141</v>
      </c>
      <c r="M982" t="s">
        <v>142</v>
      </c>
      <c r="N982" t="s">
        <v>688</v>
      </c>
      <c r="O982" t="s">
        <v>89</v>
      </c>
      <c r="P982" t="str">
        <f>"4170072343                    "</f>
        <v xml:space="preserve">4170072343                    </v>
      </c>
      <c r="Q982">
        <v>0</v>
      </c>
      <c r="R982">
        <v>0</v>
      </c>
      <c r="S982">
        <v>0</v>
      </c>
      <c r="T982">
        <v>0</v>
      </c>
      <c r="U982">
        <v>0</v>
      </c>
      <c r="V982">
        <v>0</v>
      </c>
      <c r="W982">
        <v>0</v>
      </c>
      <c r="X982">
        <v>0</v>
      </c>
      <c r="Y982">
        <v>0</v>
      </c>
      <c r="Z982">
        <v>0</v>
      </c>
      <c r="AA982">
        <v>0</v>
      </c>
      <c r="AB982">
        <v>0</v>
      </c>
      <c r="AC982">
        <v>0</v>
      </c>
      <c r="AD982">
        <v>0</v>
      </c>
      <c r="AE982">
        <v>0</v>
      </c>
      <c r="AF982">
        <v>0</v>
      </c>
      <c r="AG982">
        <v>0</v>
      </c>
      <c r="AH982">
        <v>0</v>
      </c>
      <c r="AI982">
        <v>0</v>
      </c>
      <c r="AJ982">
        <v>0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25.52</v>
      </c>
      <c r="AR982">
        <v>0</v>
      </c>
      <c r="AS982">
        <v>0</v>
      </c>
      <c r="AT982">
        <v>0</v>
      </c>
      <c r="AU982">
        <v>0</v>
      </c>
      <c r="AV982">
        <v>0</v>
      </c>
      <c r="AW982">
        <v>0</v>
      </c>
      <c r="AX982">
        <v>0</v>
      </c>
      <c r="AY982">
        <v>0</v>
      </c>
      <c r="AZ982">
        <v>0</v>
      </c>
      <c r="BA982">
        <v>0</v>
      </c>
      <c r="BB982">
        <v>0</v>
      </c>
      <c r="BC982">
        <v>0</v>
      </c>
      <c r="BD982">
        <v>0</v>
      </c>
      <c r="BE982">
        <v>0</v>
      </c>
      <c r="BF982">
        <v>0</v>
      </c>
      <c r="BG982">
        <v>0</v>
      </c>
      <c r="BH982">
        <v>1</v>
      </c>
      <c r="BI982">
        <v>1</v>
      </c>
      <c r="BJ982">
        <v>0.2</v>
      </c>
      <c r="BK982">
        <v>1</v>
      </c>
      <c r="BL982">
        <v>76.06</v>
      </c>
      <c r="BM982">
        <v>11.41</v>
      </c>
      <c r="BN982">
        <v>87.47</v>
      </c>
      <c r="BO982">
        <v>87.47</v>
      </c>
      <c r="BQ982" t="s">
        <v>689</v>
      </c>
      <c r="BR982" t="s">
        <v>82</v>
      </c>
      <c r="BS982" s="3">
        <v>46000</v>
      </c>
      <c r="BT982" s="4">
        <v>0.38472222222222224</v>
      </c>
      <c r="BU982" t="s">
        <v>1727</v>
      </c>
      <c r="BV982" t="s">
        <v>84</v>
      </c>
      <c r="BY982">
        <v>1200</v>
      </c>
      <c r="CA982" t="s">
        <v>1228</v>
      </c>
      <c r="CC982" t="s">
        <v>142</v>
      </c>
      <c r="CD982">
        <v>6000</v>
      </c>
      <c r="CE982" t="s">
        <v>134</v>
      </c>
      <c r="CF982" s="3">
        <v>46000</v>
      </c>
      <c r="CI982">
        <v>1</v>
      </c>
      <c r="CJ982">
        <v>1</v>
      </c>
      <c r="CK982">
        <v>21</v>
      </c>
      <c r="CL982" t="s">
        <v>87</v>
      </c>
    </row>
    <row r="983" spans="1:90" x14ac:dyDescent="0.3">
      <c r="A983" t="s">
        <v>72</v>
      </c>
      <c r="B983" t="s">
        <v>73</v>
      </c>
      <c r="C983" t="s">
        <v>74</v>
      </c>
      <c r="E983" t="str">
        <f>"080069753688"</f>
        <v>080069753688</v>
      </c>
      <c r="F983" s="3">
        <v>45999</v>
      </c>
      <c r="G983">
        <v>202609</v>
      </c>
      <c r="H983" t="s">
        <v>75</v>
      </c>
      <c r="I983" t="s">
        <v>76</v>
      </c>
      <c r="J983" t="s">
        <v>77</v>
      </c>
      <c r="K983" t="s">
        <v>78</v>
      </c>
      <c r="L983" t="s">
        <v>141</v>
      </c>
      <c r="M983" t="s">
        <v>142</v>
      </c>
      <c r="N983" t="s">
        <v>214</v>
      </c>
      <c r="O983" t="s">
        <v>89</v>
      </c>
      <c r="P983" t="str">
        <f>"4170072475                    "</f>
        <v xml:space="preserve">4170072475                    </v>
      </c>
      <c r="Q983">
        <v>0</v>
      </c>
      <c r="R983">
        <v>0</v>
      </c>
      <c r="S983">
        <v>0</v>
      </c>
      <c r="T983">
        <v>0</v>
      </c>
      <c r="U983">
        <v>0</v>
      </c>
      <c r="V983">
        <v>0</v>
      </c>
      <c r="W983">
        <v>0</v>
      </c>
      <c r="X983">
        <v>0</v>
      </c>
      <c r="Y983">
        <v>0</v>
      </c>
      <c r="Z983">
        <v>0</v>
      </c>
      <c r="AA983">
        <v>0</v>
      </c>
      <c r="AB983">
        <v>0</v>
      </c>
      <c r="AC983">
        <v>0</v>
      </c>
      <c r="AD983">
        <v>0</v>
      </c>
      <c r="AE983">
        <v>0</v>
      </c>
      <c r="AF983">
        <v>0</v>
      </c>
      <c r="AG983">
        <v>0</v>
      </c>
      <c r="AH983">
        <v>0</v>
      </c>
      <c r="AI983">
        <v>0</v>
      </c>
      <c r="AJ983">
        <v>0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25.52</v>
      </c>
      <c r="AR983">
        <v>0</v>
      </c>
      <c r="AS983">
        <v>0</v>
      </c>
      <c r="AT983">
        <v>0</v>
      </c>
      <c r="AU983">
        <v>0</v>
      </c>
      <c r="AV983">
        <v>0</v>
      </c>
      <c r="AW983">
        <v>0</v>
      </c>
      <c r="AX983">
        <v>0</v>
      </c>
      <c r="AY983">
        <v>0</v>
      </c>
      <c r="AZ983">
        <v>0</v>
      </c>
      <c r="BA983">
        <v>0</v>
      </c>
      <c r="BB983">
        <v>0</v>
      </c>
      <c r="BC983">
        <v>0</v>
      </c>
      <c r="BD983">
        <v>0</v>
      </c>
      <c r="BE983">
        <v>0</v>
      </c>
      <c r="BF983">
        <v>0</v>
      </c>
      <c r="BG983">
        <v>0</v>
      </c>
      <c r="BH983">
        <v>1</v>
      </c>
      <c r="BI983">
        <v>1</v>
      </c>
      <c r="BJ983">
        <v>0.2</v>
      </c>
      <c r="BK983">
        <v>1</v>
      </c>
      <c r="BL983">
        <v>76.06</v>
      </c>
      <c r="BM983">
        <v>11.41</v>
      </c>
      <c r="BN983">
        <v>87.47</v>
      </c>
      <c r="BO983">
        <v>87.47</v>
      </c>
      <c r="BQ983" t="s">
        <v>215</v>
      </c>
      <c r="BR983" t="s">
        <v>82</v>
      </c>
      <c r="BS983" s="3">
        <v>46000</v>
      </c>
      <c r="BT983" s="4">
        <v>0.37361111111111112</v>
      </c>
      <c r="BU983" t="s">
        <v>1660</v>
      </c>
      <c r="BV983" t="s">
        <v>84</v>
      </c>
      <c r="BY983">
        <v>1200</v>
      </c>
      <c r="CA983" t="s">
        <v>489</v>
      </c>
      <c r="CC983" t="s">
        <v>142</v>
      </c>
      <c r="CD983">
        <v>6001</v>
      </c>
      <c r="CE983" t="s">
        <v>134</v>
      </c>
      <c r="CF983" s="3">
        <v>46000</v>
      </c>
      <c r="CI983">
        <v>1</v>
      </c>
      <c r="CJ983">
        <v>1</v>
      </c>
      <c r="CK983">
        <v>21</v>
      </c>
      <c r="CL983" t="s">
        <v>87</v>
      </c>
    </row>
    <row r="984" spans="1:90" x14ac:dyDescent="0.3">
      <c r="A984" t="s">
        <v>72</v>
      </c>
      <c r="B984" t="s">
        <v>73</v>
      </c>
      <c r="C984" t="s">
        <v>74</v>
      </c>
      <c r="E984" t="str">
        <f>"080069753697"</f>
        <v>080069753697</v>
      </c>
      <c r="F984" s="3">
        <v>45999</v>
      </c>
      <c r="G984">
        <v>202609</v>
      </c>
      <c r="H984" t="s">
        <v>75</v>
      </c>
      <c r="I984" t="s">
        <v>76</v>
      </c>
      <c r="J984" t="s">
        <v>77</v>
      </c>
      <c r="K984" t="s">
        <v>78</v>
      </c>
      <c r="L984" t="s">
        <v>141</v>
      </c>
      <c r="M984" t="s">
        <v>142</v>
      </c>
      <c r="N984" t="s">
        <v>143</v>
      </c>
      <c r="O984" t="s">
        <v>89</v>
      </c>
      <c r="P984" t="str">
        <f>"4170072414                    "</f>
        <v xml:space="preserve">4170072414                    </v>
      </c>
      <c r="Q984">
        <v>0</v>
      </c>
      <c r="R984">
        <v>0</v>
      </c>
      <c r="S984">
        <v>0</v>
      </c>
      <c r="T984">
        <v>0</v>
      </c>
      <c r="U984">
        <v>0</v>
      </c>
      <c r="V984">
        <v>0</v>
      </c>
      <c r="W984">
        <v>0</v>
      </c>
      <c r="X984">
        <v>0</v>
      </c>
      <c r="Y984">
        <v>0</v>
      </c>
      <c r="Z984">
        <v>0</v>
      </c>
      <c r="AA984">
        <v>0</v>
      </c>
      <c r="AB984">
        <v>0</v>
      </c>
      <c r="AC984">
        <v>0</v>
      </c>
      <c r="AD984">
        <v>0</v>
      </c>
      <c r="AE984">
        <v>0</v>
      </c>
      <c r="AF984">
        <v>0</v>
      </c>
      <c r="AG984">
        <v>0</v>
      </c>
      <c r="AH984">
        <v>0</v>
      </c>
      <c r="AI984">
        <v>0</v>
      </c>
      <c r="AJ984">
        <v>0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76.55</v>
      </c>
      <c r="AR984">
        <v>0</v>
      </c>
      <c r="AS984">
        <v>0</v>
      </c>
      <c r="AT984">
        <v>0</v>
      </c>
      <c r="AU984">
        <v>0</v>
      </c>
      <c r="AV984">
        <v>0</v>
      </c>
      <c r="AW984">
        <v>0</v>
      </c>
      <c r="AX984">
        <v>0</v>
      </c>
      <c r="AY984">
        <v>0</v>
      </c>
      <c r="AZ984">
        <v>0</v>
      </c>
      <c r="BA984">
        <v>0</v>
      </c>
      <c r="BB984">
        <v>0</v>
      </c>
      <c r="BC984">
        <v>0</v>
      </c>
      <c r="BD984">
        <v>0</v>
      </c>
      <c r="BE984">
        <v>0</v>
      </c>
      <c r="BF984">
        <v>0</v>
      </c>
      <c r="BG984">
        <v>0</v>
      </c>
      <c r="BH984">
        <v>1</v>
      </c>
      <c r="BI984">
        <v>5</v>
      </c>
      <c r="BJ984">
        <v>5.8</v>
      </c>
      <c r="BK984">
        <v>6</v>
      </c>
      <c r="BL984">
        <v>228.13</v>
      </c>
      <c r="BM984">
        <v>34.22</v>
      </c>
      <c r="BN984">
        <v>262.35000000000002</v>
      </c>
      <c r="BO984">
        <v>262.35000000000002</v>
      </c>
      <c r="BQ984" t="s">
        <v>144</v>
      </c>
      <c r="BR984" t="s">
        <v>82</v>
      </c>
      <c r="BS984" s="3">
        <v>46000</v>
      </c>
      <c r="BT984" s="4">
        <v>0.40625</v>
      </c>
      <c r="BU984" t="s">
        <v>1682</v>
      </c>
      <c r="BV984" t="s">
        <v>84</v>
      </c>
      <c r="BY984">
        <v>29172</v>
      </c>
      <c r="CA984" t="s">
        <v>1228</v>
      </c>
      <c r="CC984" t="s">
        <v>142</v>
      </c>
      <c r="CD984">
        <v>6001</v>
      </c>
      <c r="CE984" t="s">
        <v>93</v>
      </c>
      <c r="CF984" s="3">
        <v>46000</v>
      </c>
      <c r="CI984">
        <v>1</v>
      </c>
      <c r="CJ984">
        <v>1</v>
      </c>
      <c r="CK984">
        <v>21</v>
      </c>
      <c r="CL984" t="s">
        <v>87</v>
      </c>
    </row>
    <row r="985" spans="1:90" x14ac:dyDescent="0.3">
      <c r="A985" t="s">
        <v>72</v>
      </c>
      <c r="B985" t="s">
        <v>73</v>
      </c>
      <c r="C985" t="s">
        <v>74</v>
      </c>
      <c r="E985" t="str">
        <f>"080069753706"</f>
        <v>080069753706</v>
      </c>
      <c r="F985" s="3">
        <v>45999</v>
      </c>
      <c r="G985">
        <v>202609</v>
      </c>
      <c r="H985" t="s">
        <v>75</v>
      </c>
      <c r="I985" t="s">
        <v>76</v>
      </c>
      <c r="J985" t="s">
        <v>77</v>
      </c>
      <c r="K985" t="s">
        <v>78</v>
      </c>
      <c r="L985" t="s">
        <v>698</v>
      </c>
      <c r="M985" t="s">
        <v>698</v>
      </c>
      <c r="N985" t="s">
        <v>543</v>
      </c>
      <c r="O985" t="s">
        <v>89</v>
      </c>
      <c r="P985" t="str">
        <f>"4170072507                    "</f>
        <v xml:space="preserve">4170072507                    </v>
      </c>
      <c r="Q985">
        <v>0</v>
      </c>
      <c r="R985">
        <v>0</v>
      </c>
      <c r="S985">
        <v>0</v>
      </c>
      <c r="T985">
        <v>0</v>
      </c>
      <c r="U985">
        <v>0</v>
      </c>
      <c r="V985">
        <v>0</v>
      </c>
      <c r="W985">
        <v>0</v>
      </c>
      <c r="X985">
        <v>0</v>
      </c>
      <c r="Y985">
        <v>0</v>
      </c>
      <c r="Z985">
        <v>0</v>
      </c>
      <c r="AA985">
        <v>0</v>
      </c>
      <c r="AB985">
        <v>0</v>
      </c>
      <c r="AC985">
        <v>0</v>
      </c>
      <c r="AD985">
        <v>0</v>
      </c>
      <c r="AE985">
        <v>0</v>
      </c>
      <c r="AF985">
        <v>0</v>
      </c>
      <c r="AG985">
        <v>0</v>
      </c>
      <c r="AH985">
        <v>0</v>
      </c>
      <c r="AI985">
        <v>0</v>
      </c>
      <c r="AJ985">
        <v>0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35.9</v>
      </c>
      <c r="AR985">
        <v>0</v>
      </c>
      <c r="AS985">
        <v>0</v>
      </c>
      <c r="AT985">
        <v>0</v>
      </c>
      <c r="AU985">
        <v>0</v>
      </c>
      <c r="AV985">
        <v>0</v>
      </c>
      <c r="AW985">
        <v>0</v>
      </c>
      <c r="AX985">
        <v>0</v>
      </c>
      <c r="AY985">
        <v>0</v>
      </c>
      <c r="AZ985">
        <v>0</v>
      </c>
      <c r="BA985">
        <v>0</v>
      </c>
      <c r="BB985">
        <v>0</v>
      </c>
      <c r="BC985">
        <v>0</v>
      </c>
      <c r="BD985">
        <v>0</v>
      </c>
      <c r="BE985">
        <v>0</v>
      </c>
      <c r="BF985">
        <v>0</v>
      </c>
      <c r="BG985">
        <v>0</v>
      </c>
      <c r="BH985">
        <v>1</v>
      </c>
      <c r="BI985">
        <v>1</v>
      </c>
      <c r="BJ985">
        <v>0.2</v>
      </c>
      <c r="BK985">
        <v>1</v>
      </c>
      <c r="BL985">
        <v>106.98</v>
      </c>
      <c r="BM985">
        <v>16.05</v>
      </c>
      <c r="BN985">
        <v>123.03</v>
      </c>
      <c r="BO985">
        <v>123.03</v>
      </c>
      <c r="BQ985" t="s">
        <v>544</v>
      </c>
      <c r="BR985" t="s">
        <v>82</v>
      </c>
      <c r="BS985" s="3">
        <v>46000</v>
      </c>
      <c r="BT985" s="4">
        <v>0.65277777777777779</v>
      </c>
      <c r="BU985" t="s">
        <v>1754</v>
      </c>
      <c r="BV985" t="s">
        <v>87</v>
      </c>
      <c r="BY985">
        <v>1200</v>
      </c>
      <c r="CA985" t="s">
        <v>1231</v>
      </c>
      <c r="CC985" t="s">
        <v>698</v>
      </c>
      <c r="CD985">
        <v>1491</v>
      </c>
      <c r="CE985" t="s">
        <v>134</v>
      </c>
      <c r="CF985" s="3">
        <v>46000</v>
      </c>
      <c r="CI985">
        <v>1</v>
      </c>
      <c r="CJ985">
        <v>1</v>
      </c>
      <c r="CK985">
        <v>24</v>
      </c>
      <c r="CL985" t="s">
        <v>87</v>
      </c>
    </row>
    <row r="986" spans="1:90" x14ac:dyDescent="0.3">
      <c r="A986" t="s">
        <v>72</v>
      </c>
      <c r="B986" t="s">
        <v>73</v>
      </c>
      <c r="C986" t="s">
        <v>74</v>
      </c>
      <c r="E986" t="str">
        <f>"080069753734"</f>
        <v>080069753734</v>
      </c>
      <c r="F986" s="3">
        <v>45999</v>
      </c>
      <c r="G986">
        <v>202609</v>
      </c>
      <c r="H986" t="s">
        <v>75</v>
      </c>
      <c r="I986" t="s">
        <v>76</v>
      </c>
      <c r="J986" t="s">
        <v>77</v>
      </c>
      <c r="K986" t="s">
        <v>78</v>
      </c>
      <c r="L986" t="s">
        <v>100</v>
      </c>
      <c r="M986" t="s">
        <v>101</v>
      </c>
      <c r="N986" t="s">
        <v>102</v>
      </c>
      <c r="O986" t="s">
        <v>89</v>
      </c>
      <c r="P986" t="str">
        <f>"4170072440                    "</f>
        <v xml:space="preserve">4170072440                    </v>
      </c>
      <c r="Q986">
        <v>0</v>
      </c>
      <c r="R986">
        <v>0</v>
      </c>
      <c r="S986">
        <v>0</v>
      </c>
      <c r="T986">
        <v>0</v>
      </c>
      <c r="U986">
        <v>0</v>
      </c>
      <c r="V986">
        <v>0</v>
      </c>
      <c r="W986">
        <v>0</v>
      </c>
      <c r="X986">
        <v>0</v>
      </c>
      <c r="Y986">
        <v>0</v>
      </c>
      <c r="Z986">
        <v>0</v>
      </c>
      <c r="AA986">
        <v>0</v>
      </c>
      <c r="AB986">
        <v>0</v>
      </c>
      <c r="AC986">
        <v>0</v>
      </c>
      <c r="AD986">
        <v>0</v>
      </c>
      <c r="AE986">
        <v>0</v>
      </c>
      <c r="AF986">
        <v>0</v>
      </c>
      <c r="AG986">
        <v>0</v>
      </c>
      <c r="AH986">
        <v>0</v>
      </c>
      <c r="AI986">
        <v>0</v>
      </c>
      <c r="AJ986">
        <v>0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25.52</v>
      </c>
      <c r="AR986">
        <v>0</v>
      </c>
      <c r="AS986">
        <v>0</v>
      </c>
      <c r="AT986">
        <v>0</v>
      </c>
      <c r="AU986">
        <v>0</v>
      </c>
      <c r="AV986">
        <v>0</v>
      </c>
      <c r="AW986">
        <v>0</v>
      </c>
      <c r="AX986">
        <v>0</v>
      </c>
      <c r="AY986">
        <v>0</v>
      </c>
      <c r="AZ986">
        <v>0</v>
      </c>
      <c r="BA986">
        <v>0</v>
      </c>
      <c r="BB986">
        <v>0</v>
      </c>
      <c r="BC986">
        <v>0</v>
      </c>
      <c r="BD986">
        <v>0</v>
      </c>
      <c r="BE986">
        <v>0</v>
      </c>
      <c r="BF986">
        <v>0</v>
      </c>
      <c r="BG986">
        <v>0</v>
      </c>
      <c r="BH986">
        <v>1</v>
      </c>
      <c r="BI986">
        <v>1</v>
      </c>
      <c r="BJ986">
        <v>1.4</v>
      </c>
      <c r="BK986">
        <v>1.5</v>
      </c>
      <c r="BL986">
        <v>76.06</v>
      </c>
      <c r="BM986">
        <v>11.41</v>
      </c>
      <c r="BN986">
        <v>87.47</v>
      </c>
      <c r="BO986">
        <v>87.47</v>
      </c>
      <c r="BQ986" t="s">
        <v>103</v>
      </c>
      <c r="BR986" t="s">
        <v>82</v>
      </c>
      <c r="BS986" s="3">
        <v>46000</v>
      </c>
      <c r="BT986" s="4">
        <v>0.35833333333333334</v>
      </c>
      <c r="BU986" t="s">
        <v>104</v>
      </c>
      <c r="BV986" t="s">
        <v>84</v>
      </c>
      <c r="BY986">
        <v>7000</v>
      </c>
      <c r="CA986" t="s">
        <v>107</v>
      </c>
      <c r="CC986" t="s">
        <v>101</v>
      </c>
      <c r="CD986">
        <v>4051</v>
      </c>
      <c r="CE986" t="s">
        <v>86</v>
      </c>
      <c r="CF986" s="3">
        <v>46001</v>
      </c>
      <c r="CI986">
        <v>1</v>
      </c>
      <c r="CJ986">
        <v>1</v>
      </c>
      <c r="CK986">
        <v>21</v>
      </c>
      <c r="CL986" t="s">
        <v>87</v>
      </c>
    </row>
    <row r="987" spans="1:90" x14ac:dyDescent="0.3">
      <c r="A987" t="s">
        <v>72</v>
      </c>
      <c r="B987" t="s">
        <v>73</v>
      </c>
      <c r="C987" t="s">
        <v>74</v>
      </c>
      <c r="E987" t="str">
        <f>"080069753749"</f>
        <v>080069753749</v>
      </c>
      <c r="F987" s="3">
        <v>45999</v>
      </c>
      <c r="G987">
        <v>202609</v>
      </c>
      <c r="H987" t="s">
        <v>75</v>
      </c>
      <c r="I987" t="s">
        <v>76</v>
      </c>
      <c r="J987" t="s">
        <v>77</v>
      </c>
      <c r="K987" t="s">
        <v>78</v>
      </c>
      <c r="L987" t="s">
        <v>75</v>
      </c>
      <c r="M987" t="s">
        <v>76</v>
      </c>
      <c r="N987" t="s">
        <v>385</v>
      </c>
      <c r="O987" t="s">
        <v>89</v>
      </c>
      <c r="P987" t="str">
        <f>"4170072454                    "</f>
        <v xml:space="preserve">4170072454                    </v>
      </c>
      <c r="Q987">
        <v>0</v>
      </c>
      <c r="R987">
        <v>0</v>
      </c>
      <c r="S987">
        <v>0</v>
      </c>
      <c r="T987">
        <v>0</v>
      </c>
      <c r="U987">
        <v>0</v>
      </c>
      <c r="V987">
        <v>0</v>
      </c>
      <c r="W987">
        <v>0</v>
      </c>
      <c r="X987">
        <v>0</v>
      </c>
      <c r="Y987">
        <v>0</v>
      </c>
      <c r="Z987">
        <v>0</v>
      </c>
      <c r="AA987">
        <v>0</v>
      </c>
      <c r="AB987">
        <v>0</v>
      </c>
      <c r="AC987">
        <v>0</v>
      </c>
      <c r="AD987">
        <v>0</v>
      </c>
      <c r="AE987">
        <v>0</v>
      </c>
      <c r="AF987">
        <v>0</v>
      </c>
      <c r="AG987">
        <v>0</v>
      </c>
      <c r="AH987">
        <v>0</v>
      </c>
      <c r="AI987">
        <v>0</v>
      </c>
      <c r="AJ987">
        <v>0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19.940000000000001</v>
      </c>
      <c r="AR987">
        <v>0</v>
      </c>
      <c r="AS987">
        <v>0</v>
      </c>
      <c r="AT987">
        <v>0</v>
      </c>
      <c r="AU987">
        <v>0</v>
      </c>
      <c r="AV987">
        <v>0</v>
      </c>
      <c r="AW987">
        <v>0</v>
      </c>
      <c r="AX987">
        <v>0</v>
      </c>
      <c r="AY987">
        <v>0</v>
      </c>
      <c r="AZ987">
        <v>0</v>
      </c>
      <c r="BA987">
        <v>0</v>
      </c>
      <c r="BB987">
        <v>0</v>
      </c>
      <c r="BC987">
        <v>0</v>
      </c>
      <c r="BD987">
        <v>0</v>
      </c>
      <c r="BE987">
        <v>0</v>
      </c>
      <c r="BF987">
        <v>0</v>
      </c>
      <c r="BG987">
        <v>0</v>
      </c>
      <c r="BH987">
        <v>1</v>
      </c>
      <c r="BI987">
        <v>1</v>
      </c>
      <c r="BJ987">
        <v>0.2</v>
      </c>
      <c r="BK987">
        <v>1</v>
      </c>
      <c r="BL987">
        <v>59.42</v>
      </c>
      <c r="BM987">
        <v>8.91</v>
      </c>
      <c r="BN987">
        <v>68.33</v>
      </c>
      <c r="BO987">
        <v>68.33</v>
      </c>
      <c r="BQ987" t="s">
        <v>386</v>
      </c>
      <c r="BR987" t="s">
        <v>82</v>
      </c>
      <c r="BS987" s="3">
        <v>46000</v>
      </c>
      <c r="BT987" s="4">
        <v>0.375</v>
      </c>
      <c r="BU987" t="s">
        <v>1755</v>
      </c>
      <c r="BV987" t="s">
        <v>84</v>
      </c>
      <c r="BY987">
        <v>1200</v>
      </c>
      <c r="CA987" t="s">
        <v>606</v>
      </c>
      <c r="CC987" t="s">
        <v>76</v>
      </c>
      <c r="CD987">
        <v>1601</v>
      </c>
      <c r="CE987" t="s">
        <v>134</v>
      </c>
      <c r="CF987" s="3">
        <v>46000</v>
      </c>
      <c r="CI987">
        <v>1</v>
      </c>
      <c r="CJ987">
        <v>1</v>
      </c>
      <c r="CK987">
        <v>22</v>
      </c>
      <c r="CL987" t="s">
        <v>87</v>
      </c>
    </row>
    <row r="988" spans="1:90" x14ac:dyDescent="0.3">
      <c r="A988" t="s">
        <v>72</v>
      </c>
      <c r="B988" t="s">
        <v>73</v>
      </c>
      <c r="C988" t="s">
        <v>74</v>
      </c>
      <c r="E988" t="str">
        <f>"080069753774"</f>
        <v>080069753774</v>
      </c>
      <c r="F988" s="3">
        <v>45999</v>
      </c>
      <c r="G988">
        <v>202609</v>
      </c>
      <c r="H988" t="s">
        <v>75</v>
      </c>
      <c r="I988" t="s">
        <v>76</v>
      </c>
      <c r="J988" t="s">
        <v>77</v>
      </c>
      <c r="K988" t="s">
        <v>78</v>
      </c>
      <c r="L988" t="s">
        <v>208</v>
      </c>
      <c r="M988" t="s">
        <v>209</v>
      </c>
      <c r="N988" t="s">
        <v>1756</v>
      </c>
      <c r="O988" t="s">
        <v>89</v>
      </c>
      <c r="P988" t="str">
        <f>"4170072408                    "</f>
        <v xml:space="preserve">4170072408                    </v>
      </c>
      <c r="Q988">
        <v>0</v>
      </c>
      <c r="R988">
        <v>0</v>
      </c>
      <c r="S988">
        <v>0</v>
      </c>
      <c r="T988">
        <v>0</v>
      </c>
      <c r="U988">
        <v>0</v>
      </c>
      <c r="V988">
        <v>0</v>
      </c>
      <c r="W988">
        <v>0</v>
      </c>
      <c r="X988">
        <v>0</v>
      </c>
      <c r="Y988">
        <v>0</v>
      </c>
      <c r="Z988">
        <v>0</v>
      </c>
      <c r="AA988">
        <v>0</v>
      </c>
      <c r="AB988">
        <v>0</v>
      </c>
      <c r="AC988">
        <v>0</v>
      </c>
      <c r="AD988">
        <v>0</v>
      </c>
      <c r="AE988">
        <v>0</v>
      </c>
      <c r="AF988">
        <v>0</v>
      </c>
      <c r="AG988">
        <v>0</v>
      </c>
      <c r="AH988">
        <v>0</v>
      </c>
      <c r="AI988">
        <v>0</v>
      </c>
      <c r="AJ988">
        <v>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25.52</v>
      </c>
      <c r="AR988">
        <v>0</v>
      </c>
      <c r="AS988">
        <v>0</v>
      </c>
      <c r="AT988">
        <v>0</v>
      </c>
      <c r="AU988">
        <v>0</v>
      </c>
      <c r="AV988">
        <v>0</v>
      </c>
      <c r="AW988">
        <v>0</v>
      </c>
      <c r="AX988">
        <v>0</v>
      </c>
      <c r="AY988">
        <v>0</v>
      </c>
      <c r="AZ988">
        <v>0</v>
      </c>
      <c r="BA988">
        <v>0</v>
      </c>
      <c r="BB988">
        <v>0</v>
      </c>
      <c r="BC988">
        <v>0</v>
      </c>
      <c r="BD988">
        <v>0</v>
      </c>
      <c r="BE988">
        <v>0</v>
      </c>
      <c r="BF988">
        <v>0</v>
      </c>
      <c r="BG988">
        <v>0</v>
      </c>
      <c r="BH988">
        <v>1</v>
      </c>
      <c r="BI988">
        <v>2</v>
      </c>
      <c r="BJ988">
        <v>1.4</v>
      </c>
      <c r="BK988">
        <v>2</v>
      </c>
      <c r="BL988">
        <v>76.06</v>
      </c>
      <c r="BM988">
        <v>11.41</v>
      </c>
      <c r="BN988">
        <v>87.47</v>
      </c>
      <c r="BO988">
        <v>87.47</v>
      </c>
      <c r="BQ988" t="s">
        <v>1757</v>
      </c>
      <c r="BR988" t="s">
        <v>82</v>
      </c>
      <c r="BS988" s="3">
        <v>46000</v>
      </c>
      <c r="BT988" s="4">
        <v>0.44444444444444442</v>
      </c>
      <c r="BU988" t="s">
        <v>1758</v>
      </c>
      <c r="BV988" t="s">
        <v>87</v>
      </c>
      <c r="BW988" t="s">
        <v>174</v>
      </c>
      <c r="BX988" t="s">
        <v>1552</v>
      </c>
      <c r="BY988">
        <v>7000</v>
      </c>
      <c r="CA988">
        <v>9208135296085</v>
      </c>
      <c r="CC988" t="s">
        <v>209</v>
      </c>
      <c r="CD988" s="5" t="s">
        <v>213</v>
      </c>
      <c r="CE988" t="s">
        <v>86</v>
      </c>
      <c r="CF988" s="3">
        <v>46000</v>
      </c>
      <c r="CI988">
        <v>1</v>
      </c>
      <c r="CJ988">
        <v>1</v>
      </c>
      <c r="CK988">
        <v>21</v>
      </c>
      <c r="CL988" t="s">
        <v>87</v>
      </c>
    </row>
    <row r="989" spans="1:90" x14ac:dyDescent="0.3">
      <c r="A989" t="s">
        <v>72</v>
      </c>
      <c r="B989" t="s">
        <v>73</v>
      </c>
      <c r="C989" t="s">
        <v>74</v>
      </c>
      <c r="E989" t="str">
        <f>"080069753790"</f>
        <v>080069753790</v>
      </c>
      <c r="F989" s="3">
        <v>45999</v>
      </c>
      <c r="G989">
        <v>202609</v>
      </c>
      <c r="H989" t="s">
        <v>75</v>
      </c>
      <c r="I989" t="s">
        <v>76</v>
      </c>
      <c r="J989" t="s">
        <v>77</v>
      </c>
      <c r="K989" t="s">
        <v>78</v>
      </c>
      <c r="L989" t="s">
        <v>120</v>
      </c>
      <c r="M989" t="s">
        <v>121</v>
      </c>
      <c r="N989" t="s">
        <v>1759</v>
      </c>
      <c r="O989" t="s">
        <v>89</v>
      </c>
      <c r="P989" t="str">
        <f>"4170072520                    "</f>
        <v xml:space="preserve">4170072520                    </v>
      </c>
      <c r="Q989">
        <v>0</v>
      </c>
      <c r="R989">
        <v>0</v>
      </c>
      <c r="S989">
        <v>0</v>
      </c>
      <c r="T989">
        <v>0</v>
      </c>
      <c r="U989">
        <v>0</v>
      </c>
      <c r="V989">
        <v>0</v>
      </c>
      <c r="W989">
        <v>0</v>
      </c>
      <c r="X989">
        <v>0</v>
      </c>
      <c r="Y989">
        <v>0</v>
      </c>
      <c r="Z989">
        <v>0</v>
      </c>
      <c r="AA989">
        <v>0</v>
      </c>
      <c r="AB989">
        <v>0</v>
      </c>
      <c r="AC989">
        <v>0</v>
      </c>
      <c r="AD989">
        <v>0</v>
      </c>
      <c r="AE989">
        <v>0</v>
      </c>
      <c r="AF989">
        <v>0</v>
      </c>
      <c r="AG989">
        <v>0</v>
      </c>
      <c r="AH989">
        <v>0</v>
      </c>
      <c r="AI989">
        <v>0</v>
      </c>
      <c r="AJ989">
        <v>0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25.52</v>
      </c>
      <c r="AR989">
        <v>0</v>
      </c>
      <c r="AS989">
        <v>0</v>
      </c>
      <c r="AT989">
        <v>0</v>
      </c>
      <c r="AU989">
        <v>0</v>
      </c>
      <c r="AV989">
        <v>0</v>
      </c>
      <c r="AW989">
        <v>0</v>
      </c>
      <c r="AX989">
        <v>0</v>
      </c>
      <c r="AY989">
        <v>0</v>
      </c>
      <c r="AZ989">
        <v>0</v>
      </c>
      <c r="BA989">
        <v>0</v>
      </c>
      <c r="BB989">
        <v>0</v>
      </c>
      <c r="BC989">
        <v>0</v>
      </c>
      <c r="BD989">
        <v>0</v>
      </c>
      <c r="BE989">
        <v>0</v>
      </c>
      <c r="BF989">
        <v>0</v>
      </c>
      <c r="BG989">
        <v>0</v>
      </c>
      <c r="BH989">
        <v>1</v>
      </c>
      <c r="BI989">
        <v>1</v>
      </c>
      <c r="BJ989">
        <v>0.2</v>
      </c>
      <c r="BK989">
        <v>1</v>
      </c>
      <c r="BL989">
        <v>76.06</v>
      </c>
      <c r="BM989">
        <v>11.41</v>
      </c>
      <c r="BN989">
        <v>87.47</v>
      </c>
      <c r="BO989">
        <v>87.47</v>
      </c>
      <c r="BQ989" t="s">
        <v>1760</v>
      </c>
      <c r="BR989" t="s">
        <v>82</v>
      </c>
      <c r="BS989" s="3">
        <v>46000</v>
      </c>
      <c r="BT989" s="4">
        <v>0.35</v>
      </c>
      <c r="BU989" t="s">
        <v>1761</v>
      </c>
      <c r="BV989" t="s">
        <v>84</v>
      </c>
      <c r="BY989">
        <v>1200</v>
      </c>
      <c r="CA989" t="s">
        <v>126</v>
      </c>
      <c r="CC989" t="s">
        <v>121</v>
      </c>
      <c r="CD989">
        <v>6229</v>
      </c>
      <c r="CE989" t="s">
        <v>134</v>
      </c>
      <c r="CF989" s="3">
        <v>46000</v>
      </c>
      <c r="CI989">
        <v>1</v>
      </c>
      <c r="CJ989">
        <v>1</v>
      </c>
      <c r="CK989">
        <v>21</v>
      </c>
      <c r="CL989" t="s">
        <v>87</v>
      </c>
    </row>
    <row r="990" spans="1:90" x14ac:dyDescent="0.3">
      <c r="A990" t="s">
        <v>72</v>
      </c>
      <c r="B990" t="s">
        <v>73</v>
      </c>
      <c r="C990" t="s">
        <v>74</v>
      </c>
      <c r="E990" t="str">
        <f>"080069753820"</f>
        <v>080069753820</v>
      </c>
      <c r="F990" s="3">
        <v>45999</v>
      </c>
      <c r="G990">
        <v>202609</v>
      </c>
      <c r="H990" t="s">
        <v>75</v>
      </c>
      <c r="I990" t="s">
        <v>76</v>
      </c>
      <c r="J990" t="s">
        <v>77</v>
      </c>
      <c r="K990" t="s">
        <v>78</v>
      </c>
      <c r="L990" t="s">
        <v>202</v>
      </c>
      <c r="M990" t="s">
        <v>203</v>
      </c>
      <c r="N990" t="s">
        <v>204</v>
      </c>
      <c r="O990" t="s">
        <v>89</v>
      </c>
      <c r="P990" t="str">
        <f>"4170072468                    "</f>
        <v xml:space="preserve">4170072468                    </v>
      </c>
      <c r="Q990">
        <v>0</v>
      </c>
      <c r="R990">
        <v>0</v>
      </c>
      <c r="S990">
        <v>0</v>
      </c>
      <c r="T990">
        <v>0</v>
      </c>
      <c r="U990">
        <v>0</v>
      </c>
      <c r="V990">
        <v>0</v>
      </c>
      <c r="W990">
        <v>0</v>
      </c>
      <c r="X990">
        <v>0</v>
      </c>
      <c r="Y990">
        <v>0</v>
      </c>
      <c r="Z990">
        <v>0</v>
      </c>
      <c r="AA990">
        <v>0</v>
      </c>
      <c r="AB990">
        <v>0</v>
      </c>
      <c r="AC990">
        <v>0</v>
      </c>
      <c r="AD990">
        <v>0</v>
      </c>
      <c r="AE990">
        <v>0</v>
      </c>
      <c r="AF990">
        <v>0</v>
      </c>
      <c r="AG990">
        <v>0</v>
      </c>
      <c r="AH990">
        <v>0</v>
      </c>
      <c r="AI990">
        <v>0</v>
      </c>
      <c r="AJ990">
        <v>0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406.75</v>
      </c>
      <c r="AR990">
        <v>0</v>
      </c>
      <c r="AS990">
        <v>0</v>
      </c>
      <c r="AT990">
        <v>0</v>
      </c>
      <c r="AU990">
        <v>0</v>
      </c>
      <c r="AV990">
        <v>0</v>
      </c>
      <c r="AW990">
        <v>0</v>
      </c>
      <c r="AX990">
        <v>0</v>
      </c>
      <c r="AY990">
        <v>0</v>
      </c>
      <c r="AZ990">
        <v>0</v>
      </c>
      <c r="BA990">
        <v>0</v>
      </c>
      <c r="BB990">
        <v>0</v>
      </c>
      <c r="BC990">
        <v>0</v>
      </c>
      <c r="BD990">
        <v>0</v>
      </c>
      <c r="BE990">
        <v>0</v>
      </c>
      <c r="BF990">
        <v>0</v>
      </c>
      <c r="BG990">
        <v>0</v>
      </c>
      <c r="BH990">
        <v>1</v>
      </c>
      <c r="BI990">
        <v>18</v>
      </c>
      <c r="BJ990">
        <v>4.3</v>
      </c>
      <c r="BK990">
        <v>18</v>
      </c>
      <c r="BL990">
        <v>1212.2</v>
      </c>
      <c r="BM990">
        <v>181.83</v>
      </c>
      <c r="BN990">
        <v>1394.03</v>
      </c>
      <c r="BO990">
        <v>1394.03</v>
      </c>
      <c r="BQ990" t="s">
        <v>205</v>
      </c>
      <c r="BR990" t="s">
        <v>82</v>
      </c>
      <c r="BS990" s="3">
        <v>46000</v>
      </c>
      <c r="BT990" s="4">
        <v>0.47569444444444442</v>
      </c>
      <c r="BU990" t="s">
        <v>1762</v>
      </c>
      <c r="BV990" t="s">
        <v>84</v>
      </c>
      <c r="BY990">
        <v>21489</v>
      </c>
      <c r="CA990">
        <v>7908245451080</v>
      </c>
      <c r="CC990" t="s">
        <v>203</v>
      </c>
      <c r="CD990">
        <v>2531</v>
      </c>
      <c r="CE990" t="s">
        <v>86</v>
      </c>
      <c r="CF990" s="3">
        <v>46001</v>
      </c>
      <c r="CI990">
        <v>1</v>
      </c>
      <c r="CJ990">
        <v>1</v>
      </c>
      <c r="CK990">
        <v>23</v>
      </c>
      <c r="CL990" t="s">
        <v>87</v>
      </c>
    </row>
    <row r="991" spans="1:90" x14ac:dyDescent="0.3">
      <c r="A991" t="s">
        <v>72</v>
      </c>
      <c r="B991" t="s">
        <v>73</v>
      </c>
      <c r="C991" t="s">
        <v>74</v>
      </c>
      <c r="E991" t="str">
        <f>"080069753839"</f>
        <v>080069753839</v>
      </c>
      <c r="F991" s="3">
        <v>45999</v>
      </c>
      <c r="G991">
        <v>202609</v>
      </c>
      <c r="H991" t="s">
        <v>75</v>
      </c>
      <c r="I991" t="s">
        <v>76</v>
      </c>
      <c r="J991" t="s">
        <v>77</v>
      </c>
      <c r="K991" t="s">
        <v>78</v>
      </c>
      <c r="L991" t="s">
        <v>535</v>
      </c>
      <c r="M991" t="s">
        <v>535</v>
      </c>
      <c r="N991" t="s">
        <v>1763</v>
      </c>
      <c r="O991" t="s">
        <v>89</v>
      </c>
      <c r="P991" t="str">
        <f>"4170072447                    "</f>
        <v xml:space="preserve">4170072447                    </v>
      </c>
      <c r="Q991">
        <v>0</v>
      </c>
      <c r="R991">
        <v>0</v>
      </c>
      <c r="S991">
        <v>0</v>
      </c>
      <c r="T991">
        <v>0</v>
      </c>
      <c r="U991">
        <v>0</v>
      </c>
      <c r="V991">
        <v>0</v>
      </c>
      <c r="W991">
        <v>0</v>
      </c>
      <c r="X991">
        <v>0</v>
      </c>
      <c r="Y991">
        <v>0</v>
      </c>
      <c r="Z991">
        <v>0</v>
      </c>
      <c r="AA991">
        <v>0</v>
      </c>
      <c r="AB991">
        <v>0</v>
      </c>
      <c r="AC991">
        <v>0</v>
      </c>
      <c r="AD991">
        <v>0</v>
      </c>
      <c r="AE991">
        <v>0</v>
      </c>
      <c r="AF991">
        <v>0</v>
      </c>
      <c r="AG991">
        <v>0</v>
      </c>
      <c r="AH991">
        <v>0</v>
      </c>
      <c r="AI991">
        <v>0</v>
      </c>
      <c r="AJ991">
        <v>0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49.45</v>
      </c>
      <c r="AR991">
        <v>0</v>
      </c>
      <c r="AS991">
        <v>0</v>
      </c>
      <c r="AT991">
        <v>0</v>
      </c>
      <c r="AU991">
        <v>0</v>
      </c>
      <c r="AV991">
        <v>0</v>
      </c>
      <c r="AW991">
        <v>0</v>
      </c>
      <c r="AX991">
        <v>0</v>
      </c>
      <c r="AY991">
        <v>0</v>
      </c>
      <c r="AZ991">
        <v>0</v>
      </c>
      <c r="BA991">
        <v>0</v>
      </c>
      <c r="BB991">
        <v>0</v>
      </c>
      <c r="BC991">
        <v>0</v>
      </c>
      <c r="BD991">
        <v>0</v>
      </c>
      <c r="BE991">
        <v>0</v>
      </c>
      <c r="BF991">
        <v>0</v>
      </c>
      <c r="BG991">
        <v>0</v>
      </c>
      <c r="BH991">
        <v>1</v>
      </c>
      <c r="BI991">
        <v>1</v>
      </c>
      <c r="BJ991">
        <v>0.2</v>
      </c>
      <c r="BK991">
        <v>1</v>
      </c>
      <c r="BL991">
        <v>147.38</v>
      </c>
      <c r="BM991">
        <v>22.11</v>
      </c>
      <c r="BN991">
        <v>169.49</v>
      </c>
      <c r="BO991">
        <v>169.49</v>
      </c>
      <c r="BQ991" t="s">
        <v>1764</v>
      </c>
      <c r="BR991" t="s">
        <v>82</v>
      </c>
      <c r="BS991" s="3">
        <v>46000</v>
      </c>
      <c r="BT991" s="4">
        <v>0.46180555555555558</v>
      </c>
      <c r="BU991" t="s">
        <v>1765</v>
      </c>
      <c r="BV991" t="s">
        <v>84</v>
      </c>
      <c r="BY991">
        <v>1200</v>
      </c>
      <c r="CA991" t="s">
        <v>539</v>
      </c>
      <c r="CC991" t="s">
        <v>535</v>
      </c>
      <c r="CD991">
        <v>7628</v>
      </c>
      <c r="CE991" t="s">
        <v>134</v>
      </c>
      <c r="CF991" s="3">
        <v>46001</v>
      </c>
      <c r="CI991">
        <v>1</v>
      </c>
      <c r="CJ991">
        <v>1</v>
      </c>
      <c r="CK991">
        <v>23</v>
      </c>
      <c r="CL991" t="s">
        <v>87</v>
      </c>
    </row>
    <row r="992" spans="1:90" x14ac:dyDescent="0.3">
      <c r="A992" t="s">
        <v>72</v>
      </c>
      <c r="B992" t="s">
        <v>73</v>
      </c>
      <c r="C992" t="s">
        <v>74</v>
      </c>
      <c r="E992" t="str">
        <f>"080069753884"</f>
        <v>080069753884</v>
      </c>
      <c r="F992" s="3">
        <v>45999</v>
      </c>
      <c r="G992">
        <v>202609</v>
      </c>
      <c r="H992" t="s">
        <v>75</v>
      </c>
      <c r="I992" t="s">
        <v>76</v>
      </c>
      <c r="J992" t="s">
        <v>77</v>
      </c>
      <c r="K992" t="s">
        <v>78</v>
      </c>
      <c r="L992" t="s">
        <v>208</v>
      </c>
      <c r="M992" t="s">
        <v>209</v>
      </c>
      <c r="N992" t="s">
        <v>1756</v>
      </c>
      <c r="O992" t="s">
        <v>89</v>
      </c>
      <c r="P992" t="str">
        <f>"4170072406                    "</f>
        <v xml:space="preserve">4170072406                    </v>
      </c>
      <c r="Q992">
        <v>0</v>
      </c>
      <c r="R992">
        <v>0</v>
      </c>
      <c r="S992">
        <v>0</v>
      </c>
      <c r="T992">
        <v>0</v>
      </c>
      <c r="U992">
        <v>0</v>
      </c>
      <c r="V992">
        <v>0</v>
      </c>
      <c r="W992">
        <v>0</v>
      </c>
      <c r="X992">
        <v>0</v>
      </c>
      <c r="Y992">
        <v>0</v>
      </c>
      <c r="Z992">
        <v>0</v>
      </c>
      <c r="AA992">
        <v>0</v>
      </c>
      <c r="AB992">
        <v>0</v>
      </c>
      <c r="AC992">
        <v>0</v>
      </c>
      <c r="AD992">
        <v>0</v>
      </c>
      <c r="AE992">
        <v>0</v>
      </c>
      <c r="AF992">
        <v>0</v>
      </c>
      <c r="AG992">
        <v>0</v>
      </c>
      <c r="AH992">
        <v>0</v>
      </c>
      <c r="AI992">
        <v>0</v>
      </c>
      <c r="AJ992">
        <v>0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25.52</v>
      </c>
      <c r="AR992">
        <v>0</v>
      </c>
      <c r="AS992">
        <v>0</v>
      </c>
      <c r="AT992">
        <v>0</v>
      </c>
      <c r="AU992">
        <v>0</v>
      </c>
      <c r="AV992">
        <v>0</v>
      </c>
      <c r="AW992">
        <v>0</v>
      </c>
      <c r="AX992">
        <v>0</v>
      </c>
      <c r="AY992">
        <v>0</v>
      </c>
      <c r="AZ992">
        <v>0</v>
      </c>
      <c r="BA992">
        <v>0</v>
      </c>
      <c r="BB992">
        <v>0</v>
      </c>
      <c r="BC992">
        <v>0</v>
      </c>
      <c r="BD992">
        <v>0</v>
      </c>
      <c r="BE992">
        <v>0</v>
      </c>
      <c r="BF992">
        <v>0</v>
      </c>
      <c r="BG992">
        <v>0</v>
      </c>
      <c r="BH992">
        <v>1</v>
      </c>
      <c r="BI992">
        <v>1</v>
      </c>
      <c r="BJ992">
        <v>1.1000000000000001</v>
      </c>
      <c r="BK992">
        <v>1.5</v>
      </c>
      <c r="BL992">
        <v>76.06</v>
      </c>
      <c r="BM992">
        <v>11.41</v>
      </c>
      <c r="BN992">
        <v>87.47</v>
      </c>
      <c r="BO992">
        <v>87.47</v>
      </c>
      <c r="BQ992" t="s">
        <v>1757</v>
      </c>
      <c r="BR992" t="s">
        <v>82</v>
      </c>
      <c r="BS992" s="3">
        <v>46000</v>
      </c>
      <c r="BT992" s="4">
        <v>0.44374999999999998</v>
      </c>
      <c r="BU992" t="s">
        <v>1766</v>
      </c>
      <c r="BV992" t="s">
        <v>87</v>
      </c>
      <c r="BW992" t="s">
        <v>174</v>
      </c>
      <c r="BX992" t="s">
        <v>1552</v>
      </c>
      <c r="BY992">
        <v>5510</v>
      </c>
      <c r="CA992">
        <v>9208135296085</v>
      </c>
      <c r="CC992" t="s">
        <v>209</v>
      </c>
      <c r="CD992" s="5" t="s">
        <v>213</v>
      </c>
      <c r="CE992" t="s">
        <v>86</v>
      </c>
      <c r="CF992" s="3">
        <v>46000</v>
      </c>
      <c r="CI992">
        <v>1</v>
      </c>
      <c r="CJ992">
        <v>1</v>
      </c>
      <c r="CK992">
        <v>21</v>
      </c>
      <c r="CL992" t="s">
        <v>87</v>
      </c>
    </row>
    <row r="993" spans="1:90" x14ac:dyDescent="0.3">
      <c r="A993" t="s">
        <v>72</v>
      </c>
      <c r="B993" t="s">
        <v>73</v>
      </c>
      <c r="C993" t="s">
        <v>74</v>
      </c>
      <c r="E993" t="str">
        <f>"080069753902"</f>
        <v>080069753902</v>
      </c>
      <c r="F993" s="3">
        <v>45999</v>
      </c>
      <c r="G993">
        <v>202609</v>
      </c>
      <c r="H993" t="s">
        <v>75</v>
      </c>
      <c r="I993" t="s">
        <v>76</v>
      </c>
      <c r="J993" t="s">
        <v>77</v>
      </c>
      <c r="K993" t="s">
        <v>78</v>
      </c>
      <c r="L993" t="s">
        <v>1767</v>
      </c>
      <c r="M993" t="s">
        <v>1768</v>
      </c>
      <c r="N993" t="s">
        <v>1769</v>
      </c>
      <c r="O993" t="s">
        <v>89</v>
      </c>
      <c r="P993" t="str">
        <f>"4170072486                    "</f>
        <v xml:space="preserve">4170072486                    </v>
      </c>
      <c r="Q993">
        <v>0</v>
      </c>
      <c r="R993">
        <v>0</v>
      </c>
      <c r="S993">
        <v>0</v>
      </c>
      <c r="T993">
        <v>0</v>
      </c>
      <c r="U993">
        <v>0</v>
      </c>
      <c r="V993">
        <v>0</v>
      </c>
      <c r="W993">
        <v>0</v>
      </c>
      <c r="X993">
        <v>0</v>
      </c>
      <c r="Y993">
        <v>0</v>
      </c>
      <c r="Z993">
        <v>0</v>
      </c>
      <c r="AA993">
        <v>0</v>
      </c>
      <c r="AB993">
        <v>0</v>
      </c>
      <c r="AC993">
        <v>0</v>
      </c>
      <c r="AD993">
        <v>0</v>
      </c>
      <c r="AE993">
        <v>0</v>
      </c>
      <c r="AF993">
        <v>0</v>
      </c>
      <c r="AG993">
        <v>0</v>
      </c>
      <c r="AH993">
        <v>0</v>
      </c>
      <c r="AI993">
        <v>0</v>
      </c>
      <c r="AJ993">
        <v>0</v>
      </c>
      <c r="AK993">
        <v>0</v>
      </c>
      <c r="AL993">
        <v>0</v>
      </c>
      <c r="AM993">
        <v>0</v>
      </c>
      <c r="AN993">
        <v>0</v>
      </c>
      <c r="AO993">
        <v>0</v>
      </c>
      <c r="AP993">
        <v>0</v>
      </c>
      <c r="AQ993">
        <v>19.940000000000001</v>
      </c>
      <c r="AR993">
        <v>0</v>
      </c>
      <c r="AS993">
        <v>0</v>
      </c>
      <c r="AT993">
        <v>0</v>
      </c>
      <c r="AU993">
        <v>0</v>
      </c>
      <c r="AV993">
        <v>0</v>
      </c>
      <c r="AW993">
        <v>0</v>
      </c>
      <c r="AX993">
        <v>0</v>
      </c>
      <c r="AY993">
        <v>0</v>
      </c>
      <c r="AZ993">
        <v>0</v>
      </c>
      <c r="BA993">
        <v>0</v>
      </c>
      <c r="BB993">
        <v>0</v>
      </c>
      <c r="BC993">
        <v>0</v>
      </c>
      <c r="BD993">
        <v>0</v>
      </c>
      <c r="BE993">
        <v>0</v>
      </c>
      <c r="BF993">
        <v>0</v>
      </c>
      <c r="BG993">
        <v>0</v>
      </c>
      <c r="BH993">
        <v>1</v>
      </c>
      <c r="BI993">
        <v>1</v>
      </c>
      <c r="BJ993">
        <v>0.2</v>
      </c>
      <c r="BK993">
        <v>1</v>
      </c>
      <c r="BL993">
        <v>59.42</v>
      </c>
      <c r="BM993">
        <v>8.91</v>
      </c>
      <c r="BN993">
        <v>68.33</v>
      </c>
      <c r="BO993">
        <v>68.33</v>
      </c>
      <c r="BQ993" t="s">
        <v>1770</v>
      </c>
      <c r="BR993" t="s">
        <v>82</v>
      </c>
      <c r="BS993" s="3">
        <v>46002</v>
      </c>
      <c r="BT993" s="4">
        <v>0.40625</v>
      </c>
      <c r="BU993" t="s">
        <v>1771</v>
      </c>
      <c r="BV993" t="s">
        <v>87</v>
      </c>
      <c r="BW993" t="s">
        <v>174</v>
      </c>
      <c r="BX993" t="s">
        <v>1772</v>
      </c>
      <c r="BY993">
        <v>1200</v>
      </c>
      <c r="CA993" t="s">
        <v>1773</v>
      </c>
      <c r="CC993" t="s">
        <v>1768</v>
      </c>
      <c r="CD993">
        <v>1541</v>
      </c>
      <c r="CE993" t="s">
        <v>134</v>
      </c>
      <c r="CF993" s="3">
        <v>46003</v>
      </c>
      <c r="CI993">
        <v>1</v>
      </c>
      <c r="CJ993">
        <v>3</v>
      </c>
      <c r="CK993">
        <v>22</v>
      </c>
      <c r="CL993" t="s">
        <v>87</v>
      </c>
    </row>
    <row r="994" spans="1:90" x14ac:dyDescent="0.3">
      <c r="A994" t="s">
        <v>72</v>
      </c>
      <c r="B994" t="s">
        <v>73</v>
      </c>
      <c r="C994" t="s">
        <v>74</v>
      </c>
      <c r="E994" t="str">
        <f>"080069753930"</f>
        <v>080069753930</v>
      </c>
      <c r="F994" s="3">
        <v>45999</v>
      </c>
      <c r="G994">
        <v>202609</v>
      </c>
      <c r="H994" t="s">
        <v>75</v>
      </c>
      <c r="I994" t="s">
        <v>76</v>
      </c>
      <c r="J994" t="s">
        <v>77</v>
      </c>
      <c r="K994" t="s">
        <v>78</v>
      </c>
      <c r="L994" t="s">
        <v>202</v>
      </c>
      <c r="M994" t="s">
        <v>203</v>
      </c>
      <c r="N994" t="s">
        <v>204</v>
      </c>
      <c r="O994" t="s">
        <v>89</v>
      </c>
      <c r="P994" t="str">
        <f>"4170072417                    "</f>
        <v xml:space="preserve">4170072417                    </v>
      </c>
      <c r="Q994">
        <v>0</v>
      </c>
      <c r="R994">
        <v>0</v>
      </c>
      <c r="S994">
        <v>0</v>
      </c>
      <c r="T994">
        <v>0</v>
      </c>
      <c r="U994">
        <v>0</v>
      </c>
      <c r="V994">
        <v>0</v>
      </c>
      <c r="W994">
        <v>0</v>
      </c>
      <c r="X994">
        <v>0</v>
      </c>
      <c r="Y994">
        <v>0</v>
      </c>
      <c r="Z994">
        <v>0</v>
      </c>
      <c r="AA994">
        <v>0</v>
      </c>
      <c r="AB994">
        <v>0</v>
      </c>
      <c r="AC994">
        <v>0</v>
      </c>
      <c r="AD994">
        <v>0</v>
      </c>
      <c r="AE994">
        <v>0</v>
      </c>
      <c r="AF994">
        <v>0</v>
      </c>
      <c r="AG994">
        <v>0</v>
      </c>
      <c r="AH994">
        <v>0</v>
      </c>
      <c r="AI994">
        <v>0</v>
      </c>
      <c r="AJ994">
        <v>0</v>
      </c>
      <c r="AK994">
        <v>0</v>
      </c>
      <c r="AL994">
        <v>0</v>
      </c>
      <c r="AM994">
        <v>0</v>
      </c>
      <c r="AN994">
        <v>0</v>
      </c>
      <c r="AO994">
        <v>0</v>
      </c>
      <c r="AP994">
        <v>0</v>
      </c>
      <c r="AQ994">
        <v>105.28</v>
      </c>
      <c r="AR994">
        <v>0</v>
      </c>
      <c r="AS994">
        <v>0</v>
      </c>
      <c r="AT994">
        <v>0</v>
      </c>
      <c r="AU994">
        <v>0</v>
      </c>
      <c r="AV994">
        <v>0</v>
      </c>
      <c r="AW994">
        <v>0</v>
      </c>
      <c r="AX994">
        <v>0</v>
      </c>
      <c r="AY994">
        <v>0</v>
      </c>
      <c r="AZ994">
        <v>0</v>
      </c>
      <c r="BA994">
        <v>0</v>
      </c>
      <c r="BB994">
        <v>0</v>
      </c>
      <c r="BC994">
        <v>0</v>
      </c>
      <c r="BD994">
        <v>0</v>
      </c>
      <c r="BE994">
        <v>0</v>
      </c>
      <c r="BF994">
        <v>0</v>
      </c>
      <c r="BG994">
        <v>0</v>
      </c>
      <c r="BH994">
        <v>1</v>
      </c>
      <c r="BI994">
        <v>3</v>
      </c>
      <c r="BJ994">
        <v>4.4000000000000004</v>
      </c>
      <c r="BK994">
        <v>4.5</v>
      </c>
      <c r="BL994">
        <v>313.76</v>
      </c>
      <c r="BM994">
        <v>47.06</v>
      </c>
      <c r="BN994">
        <v>360.82</v>
      </c>
      <c r="BO994">
        <v>360.82</v>
      </c>
      <c r="BQ994" t="s">
        <v>205</v>
      </c>
      <c r="BR994" t="s">
        <v>82</v>
      </c>
      <c r="BS994" s="3">
        <v>46000</v>
      </c>
      <c r="BT994" s="4">
        <v>0.47499999999999998</v>
      </c>
      <c r="BU994" t="s">
        <v>1774</v>
      </c>
      <c r="BV994" t="s">
        <v>84</v>
      </c>
      <c r="BY994">
        <v>21756</v>
      </c>
      <c r="CA994">
        <v>7908245451080</v>
      </c>
      <c r="CC994" t="s">
        <v>203</v>
      </c>
      <c r="CD994">
        <v>2531</v>
      </c>
      <c r="CE994" t="s">
        <v>93</v>
      </c>
      <c r="CF994" s="3">
        <v>46001</v>
      </c>
      <c r="CI994">
        <v>1</v>
      </c>
      <c r="CJ994">
        <v>1</v>
      </c>
      <c r="CK994">
        <v>23</v>
      </c>
      <c r="CL994" t="s">
        <v>87</v>
      </c>
    </row>
    <row r="995" spans="1:90" x14ac:dyDescent="0.3">
      <c r="A995" t="s">
        <v>72</v>
      </c>
      <c r="B995" t="s">
        <v>73</v>
      </c>
      <c r="C995" t="s">
        <v>74</v>
      </c>
      <c r="E995" t="str">
        <f>"080069754012"</f>
        <v>080069754012</v>
      </c>
      <c r="F995" s="3">
        <v>45999</v>
      </c>
      <c r="G995">
        <v>202609</v>
      </c>
      <c r="H995" t="s">
        <v>75</v>
      </c>
      <c r="I995" t="s">
        <v>76</v>
      </c>
      <c r="J995" t="s">
        <v>77</v>
      </c>
      <c r="K995" t="s">
        <v>78</v>
      </c>
      <c r="L995" t="s">
        <v>176</v>
      </c>
      <c r="M995" t="s">
        <v>177</v>
      </c>
      <c r="N995" t="s">
        <v>178</v>
      </c>
      <c r="O995" t="s">
        <v>89</v>
      </c>
      <c r="P995" t="str">
        <f>"4170072477                    "</f>
        <v xml:space="preserve">4170072477                    </v>
      </c>
      <c r="Q995">
        <v>0</v>
      </c>
      <c r="R995">
        <v>0</v>
      </c>
      <c r="S995">
        <v>0</v>
      </c>
      <c r="T995">
        <v>0</v>
      </c>
      <c r="U995">
        <v>0</v>
      </c>
      <c r="V995">
        <v>0</v>
      </c>
      <c r="W995">
        <v>0</v>
      </c>
      <c r="X995">
        <v>0</v>
      </c>
      <c r="Y995">
        <v>0</v>
      </c>
      <c r="Z995">
        <v>0</v>
      </c>
      <c r="AA995">
        <v>0</v>
      </c>
      <c r="AB995">
        <v>0</v>
      </c>
      <c r="AC995">
        <v>0</v>
      </c>
      <c r="AD995">
        <v>0</v>
      </c>
      <c r="AE995">
        <v>0</v>
      </c>
      <c r="AF995">
        <v>0</v>
      </c>
      <c r="AG995">
        <v>0</v>
      </c>
      <c r="AH995">
        <v>0</v>
      </c>
      <c r="AI995">
        <v>0</v>
      </c>
      <c r="AJ995">
        <v>0</v>
      </c>
      <c r="AK995">
        <v>0</v>
      </c>
      <c r="AL995">
        <v>0</v>
      </c>
      <c r="AM995">
        <v>0</v>
      </c>
      <c r="AN995">
        <v>0</v>
      </c>
      <c r="AO995">
        <v>0</v>
      </c>
      <c r="AP995">
        <v>0</v>
      </c>
      <c r="AQ995">
        <v>19.940000000000001</v>
      </c>
      <c r="AR995">
        <v>0</v>
      </c>
      <c r="AS995">
        <v>0</v>
      </c>
      <c r="AT995">
        <v>0</v>
      </c>
      <c r="AU995">
        <v>0</v>
      </c>
      <c r="AV995">
        <v>0</v>
      </c>
      <c r="AW995">
        <v>0</v>
      </c>
      <c r="AX995">
        <v>0</v>
      </c>
      <c r="AY995">
        <v>0</v>
      </c>
      <c r="AZ995">
        <v>0</v>
      </c>
      <c r="BA995">
        <v>0</v>
      </c>
      <c r="BB995">
        <v>0</v>
      </c>
      <c r="BC995">
        <v>0</v>
      </c>
      <c r="BD995">
        <v>0</v>
      </c>
      <c r="BE995">
        <v>0</v>
      </c>
      <c r="BF995">
        <v>0</v>
      </c>
      <c r="BG995">
        <v>0</v>
      </c>
      <c r="BH995">
        <v>1</v>
      </c>
      <c r="BI995">
        <v>3</v>
      </c>
      <c r="BJ995">
        <v>1.9</v>
      </c>
      <c r="BK995">
        <v>3</v>
      </c>
      <c r="BL995">
        <v>59.42</v>
      </c>
      <c r="BM995">
        <v>8.91</v>
      </c>
      <c r="BN995">
        <v>68.33</v>
      </c>
      <c r="BO995">
        <v>68.33</v>
      </c>
      <c r="BQ995" t="s">
        <v>179</v>
      </c>
      <c r="BR995" t="s">
        <v>82</v>
      </c>
      <c r="BS995" s="3">
        <v>46000</v>
      </c>
      <c r="BT995" s="4">
        <v>0.4284722222222222</v>
      </c>
      <c r="BU995" t="s">
        <v>1775</v>
      </c>
      <c r="BV995" t="s">
        <v>84</v>
      </c>
      <c r="BY995">
        <v>9600</v>
      </c>
      <c r="CA995" t="s">
        <v>182</v>
      </c>
      <c r="CC995" t="s">
        <v>177</v>
      </c>
      <c r="CD995">
        <v>2094</v>
      </c>
      <c r="CE995" t="s">
        <v>86</v>
      </c>
      <c r="CF995" s="3">
        <v>46001</v>
      </c>
      <c r="CI995">
        <v>1</v>
      </c>
      <c r="CJ995">
        <v>1</v>
      </c>
      <c r="CK995">
        <v>22</v>
      </c>
      <c r="CL995" t="s">
        <v>87</v>
      </c>
    </row>
    <row r="996" spans="1:90" x14ac:dyDescent="0.3">
      <c r="A996" t="s">
        <v>72</v>
      </c>
      <c r="B996" t="s">
        <v>73</v>
      </c>
      <c r="C996" t="s">
        <v>74</v>
      </c>
      <c r="E996" t="str">
        <f>"080069754272"</f>
        <v>080069754272</v>
      </c>
      <c r="F996" s="3">
        <v>45999</v>
      </c>
      <c r="G996">
        <v>202609</v>
      </c>
      <c r="H996" t="s">
        <v>75</v>
      </c>
      <c r="I996" t="s">
        <v>76</v>
      </c>
      <c r="J996" t="s">
        <v>77</v>
      </c>
      <c r="K996" t="s">
        <v>78</v>
      </c>
      <c r="L996" t="s">
        <v>141</v>
      </c>
      <c r="M996" t="s">
        <v>142</v>
      </c>
      <c r="N996" t="s">
        <v>143</v>
      </c>
      <c r="O996" t="s">
        <v>89</v>
      </c>
      <c r="P996" t="str">
        <f>"4170072474                    "</f>
        <v xml:space="preserve">4170072474                    </v>
      </c>
      <c r="Q996">
        <v>0</v>
      </c>
      <c r="R996">
        <v>0</v>
      </c>
      <c r="S996">
        <v>0</v>
      </c>
      <c r="T996">
        <v>0</v>
      </c>
      <c r="U996">
        <v>0</v>
      </c>
      <c r="V996">
        <v>0</v>
      </c>
      <c r="W996">
        <v>0</v>
      </c>
      <c r="X996">
        <v>0</v>
      </c>
      <c r="Y996">
        <v>0</v>
      </c>
      <c r="Z996">
        <v>0</v>
      </c>
      <c r="AA996">
        <v>0</v>
      </c>
      <c r="AB996">
        <v>0</v>
      </c>
      <c r="AC996">
        <v>0</v>
      </c>
      <c r="AD996">
        <v>0</v>
      </c>
      <c r="AE996">
        <v>0</v>
      </c>
      <c r="AF996">
        <v>0</v>
      </c>
      <c r="AG996">
        <v>0</v>
      </c>
      <c r="AH996">
        <v>0</v>
      </c>
      <c r="AI996">
        <v>0</v>
      </c>
      <c r="AJ996">
        <v>0</v>
      </c>
      <c r="AK996">
        <v>0</v>
      </c>
      <c r="AL996">
        <v>0</v>
      </c>
      <c r="AM996">
        <v>0</v>
      </c>
      <c r="AN996">
        <v>0</v>
      </c>
      <c r="AO996">
        <v>0</v>
      </c>
      <c r="AP996">
        <v>0</v>
      </c>
      <c r="AQ996">
        <v>38.28</v>
      </c>
      <c r="AR996">
        <v>0</v>
      </c>
      <c r="AS996">
        <v>0</v>
      </c>
      <c r="AT996">
        <v>0</v>
      </c>
      <c r="AU996">
        <v>0</v>
      </c>
      <c r="AV996">
        <v>0</v>
      </c>
      <c r="AW996">
        <v>0</v>
      </c>
      <c r="AX996">
        <v>0</v>
      </c>
      <c r="AY996">
        <v>0</v>
      </c>
      <c r="AZ996">
        <v>0</v>
      </c>
      <c r="BA996">
        <v>0</v>
      </c>
      <c r="BB996">
        <v>0</v>
      </c>
      <c r="BC996">
        <v>0</v>
      </c>
      <c r="BD996">
        <v>0</v>
      </c>
      <c r="BE996">
        <v>0</v>
      </c>
      <c r="BF996">
        <v>0</v>
      </c>
      <c r="BG996">
        <v>0</v>
      </c>
      <c r="BH996">
        <v>1</v>
      </c>
      <c r="BI996">
        <v>3</v>
      </c>
      <c r="BJ996">
        <v>2.7</v>
      </c>
      <c r="BK996">
        <v>3</v>
      </c>
      <c r="BL996">
        <v>114.08</v>
      </c>
      <c r="BM996">
        <v>17.11</v>
      </c>
      <c r="BN996">
        <v>131.19</v>
      </c>
      <c r="BO996">
        <v>131.19</v>
      </c>
      <c r="BQ996" t="s">
        <v>144</v>
      </c>
      <c r="BR996" t="s">
        <v>82</v>
      </c>
      <c r="BS996" s="3">
        <v>46000</v>
      </c>
      <c r="BT996" s="4">
        <v>0.40625</v>
      </c>
      <c r="BU996" t="s">
        <v>1682</v>
      </c>
      <c r="BV996" t="s">
        <v>84</v>
      </c>
      <c r="BY996">
        <v>13720</v>
      </c>
      <c r="CA996" t="s">
        <v>1228</v>
      </c>
      <c r="CC996" t="s">
        <v>142</v>
      </c>
      <c r="CD996">
        <v>6001</v>
      </c>
      <c r="CE996" t="s">
        <v>93</v>
      </c>
      <c r="CF996" s="3">
        <v>46000</v>
      </c>
      <c r="CI996">
        <v>1</v>
      </c>
      <c r="CJ996">
        <v>1</v>
      </c>
      <c r="CK996">
        <v>21</v>
      </c>
      <c r="CL996" t="s">
        <v>87</v>
      </c>
    </row>
    <row r="997" spans="1:90" x14ac:dyDescent="0.3">
      <c r="A997" t="s">
        <v>72</v>
      </c>
      <c r="B997" t="s">
        <v>73</v>
      </c>
      <c r="C997" t="s">
        <v>74</v>
      </c>
      <c r="E997" t="str">
        <f>"080069754318"</f>
        <v>080069754318</v>
      </c>
      <c r="F997" s="3">
        <v>45999</v>
      </c>
      <c r="G997">
        <v>202609</v>
      </c>
      <c r="H997" t="s">
        <v>75</v>
      </c>
      <c r="I997" t="s">
        <v>76</v>
      </c>
      <c r="J997" t="s">
        <v>77</v>
      </c>
      <c r="K997" t="s">
        <v>78</v>
      </c>
      <c r="L997" t="s">
        <v>535</v>
      </c>
      <c r="M997" t="s">
        <v>535</v>
      </c>
      <c r="N997" t="s">
        <v>1763</v>
      </c>
      <c r="O997" t="s">
        <v>89</v>
      </c>
      <c r="P997" t="str">
        <f>"4170072337                    "</f>
        <v xml:space="preserve">4170072337                    </v>
      </c>
      <c r="Q997">
        <v>0</v>
      </c>
      <c r="R997">
        <v>0</v>
      </c>
      <c r="S997">
        <v>0</v>
      </c>
      <c r="T997">
        <v>0</v>
      </c>
      <c r="U997">
        <v>0</v>
      </c>
      <c r="V997">
        <v>0</v>
      </c>
      <c r="W997">
        <v>0</v>
      </c>
      <c r="X997">
        <v>0</v>
      </c>
      <c r="Y997">
        <v>0</v>
      </c>
      <c r="Z997">
        <v>0</v>
      </c>
      <c r="AA997">
        <v>0</v>
      </c>
      <c r="AB997">
        <v>0</v>
      </c>
      <c r="AC997">
        <v>0</v>
      </c>
      <c r="AD997">
        <v>0</v>
      </c>
      <c r="AE997">
        <v>0</v>
      </c>
      <c r="AF997">
        <v>0</v>
      </c>
      <c r="AG997">
        <v>0</v>
      </c>
      <c r="AH997">
        <v>0</v>
      </c>
      <c r="AI997">
        <v>0</v>
      </c>
      <c r="AJ997">
        <v>0</v>
      </c>
      <c r="AK997">
        <v>0</v>
      </c>
      <c r="AL997">
        <v>0</v>
      </c>
      <c r="AM997">
        <v>0</v>
      </c>
      <c r="AN997">
        <v>0</v>
      </c>
      <c r="AO997">
        <v>0</v>
      </c>
      <c r="AP997">
        <v>0</v>
      </c>
      <c r="AQ997">
        <v>49.45</v>
      </c>
      <c r="AR997">
        <v>0</v>
      </c>
      <c r="AS997">
        <v>0</v>
      </c>
      <c r="AT997">
        <v>0</v>
      </c>
      <c r="AU997">
        <v>0</v>
      </c>
      <c r="AV997">
        <v>0</v>
      </c>
      <c r="AW997">
        <v>0</v>
      </c>
      <c r="AX997">
        <v>0</v>
      </c>
      <c r="AY997">
        <v>0</v>
      </c>
      <c r="AZ997">
        <v>0</v>
      </c>
      <c r="BA997">
        <v>0</v>
      </c>
      <c r="BB997">
        <v>0</v>
      </c>
      <c r="BC997">
        <v>0</v>
      </c>
      <c r="BD997">
        <v>0</v>
      </c>
      <c r="BE997">
        <v>0</v>
      </c>
      <c r="BF997">
        <v>0</v>
      </c>
      <c r="BG997">
        <v>0</v>
      </c>
      <c r="BH997">
        <v>1</v>
      </c>
      <c r="BI997">
        <v>1</v>
      </c>
      <c r="BJ997">
        <v>0.2</v>
      </c>
      <c r="BK997">
        <v>1</v>
      </c>
      <c r="BL997">
        <v>147.38</v>
      </c>
      <c r="BM997">
        <v>22.11</v>
      </c>
      <c r="BN997">
        <v>169.49</v>
      </c>
      <c r="BO997">
        <v>169.49</v>
      </c>
      <c r="BQ997" t="s">
        <v>1764</v>
      </c>
      <c r="BR997" t="s">
        <v>82</v>
      </c>
      <c r="BS997" s="3">
        <v>46000</v>
      </c>
      <c r="BT997" s="4">
        <v>0.46180555555555558</v>
      </c>
      <c r="BU997" t="s">
        <v>1765</v>
      </c>
      <c r="BV997" t="s">
        <v>84</v>
      </c>
      <c r="BY997">
        <v>1200</v>
      </c>
      <c r="CA997" t="s">
        <v>539</v>
      </c>
      <c r="CC997" t="s">
        <v>535</v>
      </c>
      <c r="CD997">
        <v>7628</v>
      </c>
      <c r="CE997" t="s">
        <v>134</v>
      </c>
      <c r="CF997" s="3">
        <v>46001</v>
      </c>
      <c r="CI997">
        <v>1</v>
      </c>
      <c r="CJ997">
        <v>1</v>
      </c>
      <c r="CK997">
        <v>23</v>
      </c>
      <c r="CL997" t="s">
        <v>87</v>
      </c>
    </row>
    <row r="998" spans="1:90" x14ac:dyDescent="0.3">
      <c r="A998" t="s">
        <v>72</v>
      </c>
      <c r="B998" t="s">
        <v>73</v>
      </c>
      <c r="C998" t="s">
        <v>74</v>
      </c>
      <c r="E998" t="str">
        <f>"080069754350"</f>
        <v>080069754350</v>
      </c>
      <c r="F998" s="3">
        <v>45999</v>
      </c>
      <c r="G998">
        <v>202609</v>
      </c>
      <c r="H998" t="s">
        <v>75</v>
      </c>
      <c r="I998" t="s">
        <v>76</v>
      </c>
      <c r="J998" t="s">
        <v>77</v>
      </c>
      <c r="K998" t="s">
        <v>78</v>
      </c>
      <c r="L998" t="s">
        <v>100</v>
      </c>
      <c r="M998" t="s">
        <v>101</v>
      </c>
      <c r="N998" t="s">
        <v>102</v>
      </c>
      <c r="O998" t="s">
        <v>89</v>
      </c>
      <c r="P998" t="str">
        <f>"4170072459                    "</f>
        <v xml:space="preserve">4170072459                    </v>
      </c>
      <c r="Q998">
        <v>0</v>
      </c>
      <c r="R998">
        <v>0</v>
      </c>
      <c r="S998">
        <v>0</v>
      </c>
      <c r="T998">
        <v>0</v>
      </c>
      <c r="U998">
        <v>0</v>
      </c>
      <c r="V998">
        <v>0</v>
      </c>
      <c r="W998">
        <v>0</v>
      </c>
      <c r="X998">
        <v>0</v>
      </c>
      <c r="Y998">
        <v>0</v>
      </c>
      <c r="Z998">
        <v>0</v>
      </c>
      <c r="AA998">
        <v>0</v>
      </c>
      <c r="AB998">
        <v>0</v>
      </c>
      <c r="AC998">
        <v>0</v>
      </c>
      <c r="AD998">
        <v>0</v>
      </c>
      <c r="AE998">
        <v>0</v>
      </c>
      <c r="AF998">
        <v>0</v>
      </c>
      <c r="AG998">
        <v>0</v>
      </c>
      <c r="AH998">
        <v>0</v>
      </c>
      <c r="AI998">
        <v>0</v>
      </c>
      <c r="AJ998">
        <v>0</v>
      </c>
      <c r="AK998">
        <v>0</v>
      </c>
      <c r="AL998">
        <v>0</v>
      </c>
      <c r="AM998">
        <v>0</v>
      </c>
      <c r="AN998">
        <v>0</v>
      </c>
      <c r="AO998">
        <v>0</v>
      </c>
      <c r="AP998">
        <v>0</v>
      </c>
      <c r="AQ998">
        <v>25.52</v>
      </c>
      <c r="AR998">
        <v>0</v>
      </c>
      <c r="AS998">
        <v>0</v>
      </c>
      <c r="AT998">
        <v>0</v>
      </c>
      <c r="AU998">
        <v>0</v>
      </c>
      <c r="AV998">
        <v>0</v>
      </c>
      <c r="AW998">
        <v>0</v>
      </c>
      <c r="AX998">
        <v>0</v>
      </c>
      <c r="AY998">
        <v>0</v>
      </c>
      <c r="AZ998">
        <v>0</v>
      </c>
      <c r="BA998">
        <v>0</v>
      </c>
      <c r="BB998">
        <v>0</v>
      </c>
      <c r="BC998">
        <v>0</v>
      </c>
      <c r="BD998">
        <v>0</v>
      </c>
      <c r="BE998">
        <v>0</v>
      </c>
      <c r="BF998">
        <v>0</v>
      </c>
      <c r="BG998">
        <v>0</v>
      </c>
      <c r="BH998">
        <v>1</v>
      </c>
      <c r="BI998">
        <v>1</v>
      </c>
      <c r="BJ998">
        <v>1.9</v>
      </c>
      <c r="BK998">
        <v>2</v>
      </c>
      <c r="BL998">
        <v>76.06</v>
      </c>
      <c r="BM998">
        <v>11.41</v>
      </c>
      <c r="BN998">
        <v>87.47</v>
      </c>
      <c r="BO998">
        <v>87.47</v>
      </c>
      <c r="BQ998" t="s">
        <v>103</v>
      </c>
      <c r="BR998" t="s">
        <v>82</v>
      </c>
      <c r="BS998" s="3">
        <v>46000</v>
      </c>
      <c r="BT998" s="4">
        <v>0.35833333333333334</v>
      </c>
      <c r="BU998" t="s">
        <v>104</v>
      </c>
      <c r="BV998" t="s">
        <v>84</v>
      </c>
      <c r="BY998">
        <v>9600</v>
      </c>
      <c r="CA998" t="s">
        <v>107</v>
      </c>
      <c r="CC998" t="s">
        <v>101</v>
      </c>
      <c r="CD998">
        <v>4051</v>
      </c>
      <c r="CE998" t="s">
        <v>86</v>
      </c>
      <c r="CF998" s="3">
        <v>46001</v>
      </c>
      <c r="CI998">
        <v>1</v>
      </c>
      <c r="CJ998">
        <v>1</v>
      </c>
      <c r="CK998">
        <v>21</v>
      </c>
      <c r="CL998" t="s">
        <v>87</v>
      </c>
    </row>
    <row r="999" spans="1:90" x14ac:dyDescent="0.3">
      <c r="A999" t="s">
        <v>72</v>
      </c>
      <c r="B999" t="s">
        <v>73</v>
      </c>
      <c r="C999" t="s">
        <v>74</v>
      </c>
      <c r="E999" t="str">
        <f>"080069754390"</f>
        <v>080069754390</v>
      </c>
      <c r="F999" s="3">
        <v>45999</v>
      </c>
      <c r="G999">
        <v>202609</v>
      </c>
      <c r="H999" t="s">
        <v>75</v>
      </c>
      <c r="I999" t="s">
        <v>76</v>
      </c>
      <c r="J999" t="s">
        <v>77</v>
      </c>
      <c r="K999" t="s">
        <v>78</v>
      </c>
      <c r="L999" t="s">
        <v>156</v>
      </c>
      <c r="M999" t="s">
        <v>157</v>
      </c>
      <c r="N999" t="s">
        <v>880</v>
      </c>
      <c r="O999" t="s">
        <v>89</v>
      </c>
      <c r="P999" t="str">
        <f>"4170072437                    "</f>
        <v xml:space="preserve">4170072437                    </v>
      </c>
      <c r="Q999">
        <v>0</v>
      </c>
      <c r="R999">
        <v>0</v>
      </c>
      <c r="S999">
        <v>0</v>
      </c>
      <c r="T999">
        <v>0</v>
      </c>
      <c r="U999">
        <v>0</v>
      </c>
      <c r="V999">
        <v>0</v>
      </c>
      <c r="W999">
        <v>0</v>
      </c>
      <c r="X999">
        <v>0</v>
      </c>
      <c r="Y999">
        <v>0</v>
      </c>
      <c r="Z999">
        <v>0</v>
      </c>
      <c r="AA999">
        <v>0</v>
      </c>
      <c r="AB999">
        <v>0</v>
      </c>
      <c r="AC999">
        <v>0</v>
      </c>
      <c r="AD999">
        <v>0</v>
      </c>
      <c r="AE999">
        <v>0</v>
      </c>
      <c r="AF999">
        <v>0</v>
      </c>
      <c r="AG999">
        <v>0</v>
      </c>
      <c r="AH999">
        <v>0</v>
      </c>
      <c r="AI999">
        <v>0</v>
      </c>
      <c r="AJ999">
        <v>0</v>
      </c>
      <c r="AK999">
        <v>0</v>
      </c>
      <c r="AL999">
        <v>0</v>
      </c>
      <c r="AM999">
        <v>0</v>
      </c>
      <c r="AN999">
        <v>0</v>
      </c>
      <c r="AO999">
        <v>0</v>
      </c>
      <c r="AP999">
        <v>0</v>
      </c>
      <c r="AQ999">
        <v>25.52</v>
      </c>
      <c r="AR999">
        <v>0</v>
      </c>
      <c r="AS999">
        <v>0</v>
      </c>
      <c r="AT999">
        <v>0</v>
      </c>
      <c r="AU999">
        <v>0</v>
      </c>
      <c r="AV999">
        <v>0</v>
      </c>
      <c r="AW999">
        <v>0</v>
      </c>
      <c r="AX999">
        <v>0</v>
      </c>
      <c r="AY999">
        <v>0</v>
      </c>
      <c r="AZ999">
        <v>0</v>
      </c>
      <c r="BA999">
        <v>0</v>
      </c>
      <c r="BB999">
        <v>0</v>
      </c>
      <c r="BC999">
        <v>0</v>
      </c>
      <c r="BD999">
        <v>0</v>
      </c>
      <c r="BE999">
        <v>0</v>
      </c>
      <c r="BF999">
        <v>0</v>
      </c>
      <c r="BG999">
        <v>0</v>
      </c>
      <c r="BH999">
        <v>1</v>
      </c>
      <c r="BI999">
        <v>1</v>
      </c>
      <c r="BJ999">
        <v>1.4</v>
      </c>
      <c r="BK999">
        <v>1.5</v>
      </c>
      <c r="BL999">
        <v>76.06</v>
      </c>
      <c r="BM999">
        <v>11.41</v>
      </c>
      <c r="BN999">
        <v>87.47</v>
      </c>
      <c r="BO999">
        <v>87.47</v>
      </c>
      <c r="BQ999" t="s">
        <v>881</v>
      </c>
      <c r="BR999" t="s">
        <v>82</v>
      </c>
      <c r="BS999" s="3">
        <v>46000</v>
      </c>
      <c r="BT999" s="4">
        <v>0.62152777777777779</v>
      </c>
      <c r="BU999" t="s">
        <v>1578</v>
      </c>
      <c r="BV999" t="s">
        <v>87</v>
      </c>
      <c r="BW999" t="s">
        <v>153</v>
      </c>
      <c r="BX999" t="s">
        <v>154</v>
      </c>
      <c r="BY999">
        <v>7000</v>
      </c>
      <c r="CA999" t="s">
        <v>668</v>
      </c>
      <c r="CC999" t="s">
        <v>157</v>
      </c>
      <c r="CD999">
        <v>7550</v>
      </c>
      <c r="CE999" t="s">
        <v>86</v>
      </c>
      <c r="CF999" s="3">
        <v>46001</v>
      </c>
      <c r="CI999">
        <v>1</v>
      </c>
      <c r="CJ999">
        <v>1</v>
      </c>
      <c r="CK999">
        <v>21</v>
      </c>
      <c r="CL999" t="s">
        <v>87</v>
      </c>
    </row>
    <row r="1000" spans="1:90" x14ac:dyDescent="0.3">
      <c r="A1000" t="s">
        <v>72</v>
      </c>
      <c r="B1000" t="s">
        <v>73</v>
      </c>
      <c r="C1000" t="s">
        <v>74</v>
      </c>
      <c r="E1000" t="str">
        <f>"080069754487"</f>
        <v>080069754487</v>
      </c>
      <c r="F1000" s="3">
        <v>45999</v>
      </c>
      <c r="G1000">
        <v>202609</v>
      </c>
      <c r="H1000" t="s">
        <v>75</v>
      </c>
      <c r="I1000" t="s">
        <v>76</v>
      </c>
      <c r="J1000" t="s">
        <v>77</v>
      </c>
      <c r="K1000" t="s">
        <v>78</v>
      </c>
      <c r="L1000" t="s">
        <v>302</v>
      </c>
      <c r="M1000" t="s">
        <v>303</v>
      </c>
      <c r="N1000" t="s">
        <v>1776</v>
      </c>
      <c r="O1000" t="s">
        <v>80</v>
      </c>
      <c r="P1000" t="str">
        <f>"4170072478                    "</f>
        <v xml:space="preserve">4170072478                    </v>
      </c>
      <c r="Q1000">
        <v>0</v>
      </c>
      <c r="R1000">
        <v>0</v>
      </c>
      <c r="S1000">
        <v>0</v>
      </c>
      <c r="T1000">
        <v>0</v>
      </c>
      <c r="U1000">
        <v>0</v>
      </c>
      <c r="V1000">
        <v>0</v>
      </c>
      <c r="W1000">
        <v>0</v>
      </c>
      <c r="X1000">
        <v>0</v>
      </c>
      <c r="Y1000">
        <v>0</v>
      </c>
      <c r="Z1000">
        <v>0</v>
      </c>
      <c r="AA1000">
        <v>0</v>
      </c>
      <c r="AB1000">
        <v>0</v>
      </c>
      <c r="AC1000">
        <v>0</v>
      </c>
      <c r="AD1000">
        <v>0</v>
      </c>
      <c r="AE1000">
        <v>0</v>
      </c>
      <c r="AF1000">
        <v>0</v>
      </c>
      <c r="AG1000">
        <v>0</v>
      </c>
      <c r="AH1000">
        <v>0</v>
      </c>
      <c r="AI1000">
        <v>0</v>
      </c>
      <c r="AJ1000">
        <v>0</v>
      </c>
      <c r="AK1000">
        <v>0</v>
      </c>
      <c r="AL1000">
        <v>0</v>
      </c>
      <c r="AM1000">
        <v>0</v>
      </c>
      <c r="AN1000">
        <v>0</v>
      </c>
      <c r="AO1000">
        <v>0</v>
      </c>
      <c r="AP1000">
        <v>0</v>
      </c>
      <c r="AQ1000">
        <v>49.36</v>
      </c>
      <c r="AR1000">
        <v>0</v>
      </c>
      <c r="AS1000">
        <v>0</v>
      </c>
      <c r="AT1000">
        <v>0</v>
      </c>
      <c r="AU1000">
        <v>0</v>
      </c>
      <c r="AV1000">
        <v>0</v>
      </c>
      <c r="AW1000">
        <v>0</v>
      </c>
      <c r="AX1000">
        <v>0</v>
      </c>
      <c r="AY1000">
        <v>0</v>
      </c>
      <c r="AZ1000">
        <v>0</v>
      </c>
      <c r="BA1000">
        <v>0</v>
      </c>
      <c r="BB1000">
        <v>0</v>
      </c>
      <c r="BC1000">
        <v>0</v>
      </c>
      <c r="BD1000">
        <v>0</v>
      </c>
      <c r="BE1000">
        <v>0</v>
      </c>
      <c r="BF1000">
        <v>0</v>
      </c>
      <c r="BG1000">
        <v>0</v>
      </c>
      <c r="BH1000">
        <v>1</v>
      </c>
      <c r="BI1000">
        <v>6</v>
      </c>
      <c r="BJ1000">
        <v>2.2000000000000002</v>
      </c>
      <c r="BK1000">
        <v>6</v>
      </c>
      <c r="BL1000">
        <v>153.19999999999999</v>
      </c>
      <c r="BM1000">
        <v>22.98</v>
      </c>
      <c r="BN1000">
        <v>176.18</v>
      </c>
      <c r="BO1000">
        <v>176.18</v>
      </c>
      <c r="BQ1000" t="s">
        <v>1777</v>
      </c>
      <c r="BR1000" t="s">
        <v>82</v>
      </c>
      <c r="BS1000" s="3">
        <v>46000</v>
      </c>
      <c r="BT1000" s="4">
        <v>0.61250000000000004</v>
      </c>
      <c r="BU1000" t="s">
        <v>1778</v>
      </c>
      <c r="BV1000" t="s">
        <v>84</v>
      </c>
      <c r="BY1000">
        <v>11248</v>
      </c>
      <c r="CA1000">
        <v>9401036069087</v>
      </c>
      <c r="CC1000" t="s">
        <v>303</v>
      </c>
      <c r="CD1000" s="5" t="s">
        <v>1779</v>
      </c>
      <c r="CE1000" t="s">
        <v>86</v>
      </c>
      <c r="CF1000" s="3">
        <v>46000</v>
      </c>
      <c r="CI1000">
        <v>1</v>
      </c>
      <c r="CJ1000">
        <v>1</v>
      </c>
      <c r="CK1000">
        <v>41</v>
      </c>
      <c r="CL1000" t="s">
        <v>87</v>
      </c>
    </row>
    <row r="1001" spans="1:90" x14ac:dyDescent="0.3">
      <c r="A1001" t="s">
        <v>72</v>
      </c>
      <c r="B1001" t="s">
        <v>73</v>
      </c>
      <c r="C1001" t="s">
        <v>74</v>
      </c>
      <c r="E1001" t="str">
        <f>"080069754513"</f>
        <v>080069754513</v>
      </c>
      <c r="F1001" s="3">
        <v>45999</v>
      </c>
      <c r="G1001">
        <v>202609</v>
      </c>
      <c r="H1001" t="s">
        <v>75</v>
      </c>
      <c r="I1001" t="s">
        <v>76</v>
      </c>
      <c r="J1001" t="s">
        <v>77</v>
      </c>
      <c r="K1001" t="s">
        <v>78</v>
      </c>
      <c r="L1001" t="s">
        <v>100</v>
      </c>
      <c r="M1001" t="s">
        <v>101</v>
      </c>
      <c r="N1001" t="s">
        <v>498</v>
      </c>
      <c r="O1001" t="s">
        <v>89</v>
      </c>
      <c r="P1001" t="str">
        <f>"4170072346                    "</f>
        <v xml:space="preserve">4170072346                    </v>
      </c>
      <c r="Q1001">
        <v>0</v>
      </c>
      <c r="R1001">
        <v>0</v>
      </c>
      <c r="S1001">
        <v>0</v>
      </c>
      <c r="T1001">
        <v>0</v>
      </c>
      <c r="U1001">
        <v>0</v>
      </c>
      <c r="V1001">
        <v>0</v>
      </c>
      <c r="W1001">
        <v>0</v>
      </c>
      <c r="X1001">
        <v>0</v>
      </c>
      <c r="Y1001">
        <v>0</v>
      </c>
      <c r="Z1001">
        <v>0</v>
      </c>
      <c r="AA1001">
        <v>0</v>
      </c>
      <c r="AB1001">
        <v>0</v>
      </c>
      <c r="AC1001">
        <v>0</v>
      </c>
      <c r="AD1001">
        <v>0</v>
      </c>
      <c r="AE1001">
        <v>0</v>
      </c>
      <c r="AF1001">
        <v>0</v>
      </c>
      <c r="AG1001">
        <v>0</v>
      </c>
      <c r="AH1001">
        <v>0</v>
      </c>
      <c r="AI1001">
        <v>0</v>
      </c>
      <c r="AJ1001">
        <v>0</v>
      </c>
      <c r="AK1001">
        <v>0</v>
      </c>
      <c r="AL1001">
        <v>0</v>
      </c>
      <c r="AM1001">
        <v>0</v>
      </c>
      <c r="AN1001">
        <v>0</v>
      </c>
      <c r="AO1001">
        <v>0</v>
      </c>
      <c r="AP1001">
        <v>0</v>
      </c>
      <c r="AQ1001">
        <v>76.55</v>
      </c>
      <c r="AR1001">
        <v>0</v>
      </c>
      <c r="AS1001">
        <v>0</v>
      </c>
      <c r="AT1001">
        <v>0</v>
      </c>
      <c r="AU1001">
        <v>0</v>
      </c>
      <c r="AV1001">
        <v>0</v>
      </c>
      <c r="AW1001">
        <v>0</v>
      </c>
      <c r="AX1001">
        <v>0</v>
      </c>
      <c r="AY1001">
        <v>0</v>
      </c>
      <c r="AZ1001">
        <v>0</v>
      </c>
      <c r="BA1001">
        <v>0</v>
      </c>
      <c r="BB1001">
        <v>0</v>
      </c>
      <c r="BC1001">
        <v>0</v>
      </c>
      <c r="BD1001">
        <v>0</v>
      </c>
      <c r="BE1001">
        <v>0</v>
      </c>
      <c r="BF1001">
        <v>0</v>
      </c>
      <c r="BG1001">
        <v>0</v>
      </c>
      <c r="BH1001">
        <v>1</v>
      </c>
      <c r="BI1001">
        <v>6</v>
      </c>
      <c r="BJ1001">
        <v>1.9</v>
      </c>
      <c r="BK1001">
        <v>6</v>
      </c>
      <c r="BL1001">
        <v>228.13</v>
      </c>
      <c r="BM1001">
        <v>34.22</v>
      </c>
      <c r="BN1001">
        <v>262.35000000000002</v>
      </c>
      <c r="BO1001">
        <v>262.35000000000002</v>
      </c>
      <c r="BQ1001" t="s">
        <v>499</v>
      </c>
      <c r="BR1001" t="s">
        <v>82</v>
      </c>
      <c r="BS1001" s="3">
        <v>46000</v>
      </c>
      <c r="BT1001" s="4">
        <v>0.48125000000000001</v>
      </c>
      <c r="BU1001" t="s">
        <v>1780</v>
      </c>
      <c r="BV1001" t="s">
        <v>87</v>
      </c>
      <c r="BW1001" t="s">
        <v>246</v>
      </c>
      <c r="BX1001" t="s">
        <v>247</v>
      </c>
      <c r="BY1001">
        <v>9576</v>
      </c>
      <c r="CA1001" t="s">
        <v>1541</v>
      </c>
      <c r="CC1001" t="s">
        <v>101</v>
      </c>
      <c r="CD1001">
        <v>4052</v>
      </c>
      <c r="CE1001" t="s">
        <v>86</v>
      </c>
      <c r="CF1001" s="3">
        <v>46001</v>
      </c>
      <c r="CI1001">
        <v>1</v>
      </c>
      <c r="CJ1001">
        <v>1</v>
      </c>
      <c r="CK1001">
        <v>21</v>
      </c>
      <c r="CL1001" t="s">
        <v>87</v>
      </c>
    </row>
    <row r="1002" spans="1:90" x14ac:dyDescent="0.3">
      <c r="A1002" t="s">
        <v>72</v>
      </c>
      <c r="B1002" t="s">
        <v>73</v>
      </c>
      <c r="C1002" t="s">
        <v>74</v>
      </c>
      <c r="E1002" t="str">
        <f>"080069754531"</f>
        <v>080069754531</v>
      </c>
      <c r="F1002" s="3">
        <v>45999</v>
      </c>
      <c r="G1002">
        <v>202609</v>
      </c>
      <c r="H1002" t="s">
        <v>75</v>
      </c>
      <c r="I1002" t="s">
        <v>76</v>
      </c>
      <c r="J1002" t="s">
        <v>77</v>
      </c>
      <c r="K1002" t="s">
        <v>78</v>
      </c>
      <c r="L1002" t="s">
        <v>141</v>
      </c>
      <c r="M1002" t="s">
        <v>142</v>
      </c>
      <c r="N1002" t="s">
        <v>708</v>
      </c>
      <c r="O1002" t="s">
        <v>89</v>
      </c>
      <c r="P1002" t="str">
        <f>"4170072345                    "</f>
        <v xml:space="preserve">4170072345                    </v>
      </c>
      <c r="Q1002">
        <v>0</v>
      </c>
      <c r="R1002">
        <v>0</v>
      </c>
      <c r="S1002">
        <v>0</v>
      </c>
      <c r="T1002">
        <v>0</v>
      </c>
      <c r="U1002">
        <v>0</v>
      </c>
      <c r="V1002">
        <v>0</v>
      </c>
      <c r="W1002">
        <v>0</v>
      </c>
      <c r="X1002">
        <v>0</v>
      </c>
      <c r="Y1002">
        <v>0</v>
      </c>
      <c r="Z1002">
        <v>0</v>
      </c>
      <c r="AA1002">
        <v>0</v>
      </c>
      <c r="AB1002">
        <v>0</v>
      </c>
      <c r="AC1002">
        <v>0</v>
      </c>
      <c r="AD1002">
        <v>0</v>
      </c>
      <c r="AE1002">
        <v>0</v>
      </c>
      <c r="AF1002">
        <v>0</v>
      </c>
      <c r="AG1002">
        <v>0</v>
      </c>
      <c r="AH1002">
        <v>0</v>
      </c>
      <c r="AI1002">
        <v>0</v>
      </c>
      <c r="AJ1002">
        <v>0</v>
      </c>
      <c r="AK1002">
        <v>0</v>
      </c>
      <c r="AL1002">
        <v>0</v>
      </c>
      <c r="AM1002">
        <v>0</v>
      </c>
      <c r="AN1002">
        <v>0</v>
      </c>
      <c r="AO1002">
        <v>0</v>
      </c>
      <c r="AP1002">
        <v>0</v>
      </c>
      <c r="AQ1002">
        <v>25.52</v>
      </c>
      <c r="AR1002">
        <v>0</v>
      </c>
      <c r="AS1002">
        <v>0</v>
      </c>
      <c r="AT1002">
        <v>0</v>
      </c>
      <c r="AU1002">
        <v>0</v>
      </c>
      <c r="AV1002">
        <v>0</v>
      </c>
      <c r="AW1002">
        <v>0</v>
      </c>
      <c r="AX1002">
        <v>0</v>
      </c>
      <c r="AY1002">
        <v>0</v>
      </c>
      <c r="AZ1002">
        <v>0</v>
      </c>
      <c r="BA1002">
        <v>0</v>
      </c>
      <c r="BB1002">
        <v>0</v>
      </c>
      <c r="BC1002">
        <v>0</v>
      </c>
      <c r="BD1002">
        <v>0</v>
      </c>
      <c r="BE1002">
        <v>0</v>
      </c>
      <c r="BF1002">
        <v>0</v>
      </c>
      <c r="BG1002">
        <v>0</v>
      </c>
      <c r="BH1002">
        <v>1</v>
      </c>
      <c r="BI1002">
        <v>1</v>
      </c>
      <c r="BJ1002">
        <v>0.2</v>
      </c>
      <c r="BK1002">
        <v>1</v>
      </c>
      <c r="BL1002">
        <v>76.06</v>
      </c>
      <c r="BM1002">
        <v>11.41</v>
      </c>
      <c r="BN1002">
        <v>87.47</v>
      </c>
      <c r="BO1002">
        <v>87.47</v>
      </c>
      <c r="BQ1002" t="s">
        <v>709</v>
      </c>
      <c r="BR1002" t="s">
        <v>82</v>
      </c>
      <c r="BS1002" s="3">
        <v>46000</v>
      </c>
      <c r="BT1002" s="4">
        <v>0.39791666666666664</v>
      </c>
      <c r="BU1002" t="s">
        <v>1573</v>
      </c>
      <c r="BV1002" t="s">
        <v>84</v>
      </c>
      <c r="BY1002">
        <v>1200</v>
      </c>
      <c r="CA1002" t="s">
        <v>489</v>
      </c>
      <c r="CC1002" t="s">
        <v>142</v>
      </c>
      <c r="CD1002">
        <v>6012</v>
      </c>
      <c r="CE1002" t="s">
        <v>134</v>
      </c>
      <c r="CF1002" s="3">
        <v>46000</v>
      </c>
      <c r="CI1002">
        <v>1</v>
      </c>
      <c r="CJ1002">
        <v>1</v>
      </c>
      <c r="CK1002">
        <v>21</v>
      </c>
      <c r="CL1002" t="s">
        <v>87</v>
      </c>
    </row>
    <row r="1003" spans="1:90" x14ac:dyDescent="0.3">
      <c r="A1003" t="s">
        <v>72</v>
      </c>
      <c r="B1003" t="s">
        <v>73</v>
      </c>
      <c r="C1003" t="s">
        <v>74</v>
      </c>
      <c r="E1003" t="str">
        <f>"080069754561"</f>
        <v>080069754561</v>
      </c>
      <c r="F1003" s="3">
        <v>45999</v>
      </c>
      <c r="G1003">
        <v>202609</v>
      </c>
      <c r="H1003" t="s">
        <v>75</v>
      </c>
      <c r="I1003" t="s">
        <v>76</v>
      </c>
      <c r="J1003" t="s">
        <v>77</v>
      </c>
      <c r="K1003" t="s">
        <v>78</v>
      </c>
      <c r="L1003" t="s">
        <v>100</v>
      </c>
      <c r="M1003" t="s">
        <v>101</v>
      </c>
      <c r="N1003" t="s">
        <v>102</v>
      </c>
      <c r="O1003" t="s">
        <v>89</v>
      </c>
      <c r="P1003" t="str">
        <f>"4170072493                    "</f>
        <v xml:space="preserve">4170072493                    </v>
      </c>
      <c r="Q1003">
        <v>0</v>
      </c>
      <c r="R1003">
        <v>0</v>
      </c>
      <c r="S1003">
        <v>0</v>
      </c>
      <c r="T1003">
        <v>0</v>
      </c>
      <c r="U1003">
        <v>0</v>
      </c>
      <c r="V1003">
        <v>0</v>
      </c>
      <c r="W1003">
        <v>0</v>
      </c>
      <c r="X1003">
        <v>0</v>
      </c>
      <c r="Y1003">
        <v>0</v>
      </c>
      <c r="Z1003">
        <v>0</v>
      </c>
      <c r="AA1003">
        <v>0</v>
      </c>
      <c r="AB1003">
        <v>0</v>
      </c>
      <c r="AC1003">
        <v>0</v>
      </c>
      <c r="AD1003">
        <v>0</v>
      </c>
      <c r="AE1003">
        <v>0</v>
      </c>
      <c r="AF1003">
        <v>0</v>
      </c>
      <c r="AG1003">
        <v>0</v>
      </c>
      <c r="AH1003">
        <v>0</v>
      </c>
      <c r="AI1003">
        <v>0</v>
      </c>
      <c r="AJ1003">
        <v>0</v>
      </c>
      <c r="AK1003">
        <v>0</v>
      </c>
      <c r="AL1003">
        <v>0</v>
      </c>
      <c r="AM1003">
        <v>0</v>
      </c>
      <c r="AN1003">
        <v>0</v>
      </c>
      <c r="AO1003">
        <v>0</v>
      </c>
      <c r="AP1003">
        <v>0</v>
      </c>
      <c r="AQ1003">
        <v>25.52</v>
      </c>
      <c r="AR1003">
        <v>0</v>
      </c>
      <c r="AS1003">
        <v>0</v>
      </c>
      <c r="AT1003">
        <v>0</v>
      </c>
      <c r="AU1003">
        <v>0</v>
      </c>
      <c r="AV1003">
        <v>0</v>
      </c>
      <c r="AW1003">
        <v>0</v>
      </c>
      <c r="AX1003">
        <v>0</v>
      </c>
      <c r="AY1003">
        <v>0</v>
      </c>
      <c r="AZ1003">
        <v>0</v>
      </c>
      <c r="BA1003">
        <v>0</v>
      </c>
      <c r="BB1003">
        <v>0</v>
      </c>
      <c r="BC1003">
        <v>0</v>
      </c>
      <c r="BD1003">
        <v>0</v>
      </c>
      <c r="BE1003">
        <v>0</v>
      </c>
      <c r="BF1003">
        <v>0</v>
      </c>
      <c r="BG1003">
        <v>0</v>
      </c>
      <c r="BH1003">
        <v>1</v>
      </c>
      <c r="BI1003">
        <v>1</v>
      </c>
      <c r="BJ1003">
        <v>2</v>
      </c>
      <c r="BK1003">
        <v>2</v>
      </c>
      <c r="BL1003">
        <v>76.06</v>
      </c>
      <c r="BM1003">
        <v>11.41</v>
      </c>
      <c r="BN1003">
        <v>87.47</v>
      </c>
      <c r="BO1003">
        <v>87.47</v>
      </c>
      <c r="BQ1003" t="s">
        <v>103</v>
      </c>
      <c r="BR1003" t="s">
        <v>82</v>
      </c>
      <c r="BS1003" s="3">
        <v>46000</v>
      </c>
      <c r="BT1003" s="4">
        <v>0.35833333333333334</v>
      </c>
      <c r="BU1003" t="s">
        <v>104</v>
      </c>
      <c r="BV1003" t="s">
        <v>84</v>
      </c>
      <c r="BY1003">
        <v>9900</v>
      </c>
      <c r="CA1003" t="s">
        <v>107</v>
      </c>
      <c r="CC1003" t="s">
        <v>101</v>
      </c>
      <c r="CD1003">
        <v>4000</v>
      </c>
      <c r="CE1003" t="s">
        <v>86</v>
      </c>
      <c r="CF1003" s="3">
        <v>46001</v>
      </c>
      <c r="CI1003">
        <v>1</v>
      </c>
      <c r="CJ1003">
        <v>1</v>
      </c>
      <c r="CK1003">
        <v>21</v>
      </c>
      <c r="CL1003" t="s">
        <v>87</v>
      </c>
    </row>
    <row r="1004" spans="1:90" x14ac:dyDescent="0.3">
      <c r="A1004" t="s">
        <v>72</v>
      </c>
      <c r="B1004" t="s">
        <v>73</v>
      </c>
      <c r="C1004" t="s">
        <v>74</v>
      </c>
      <c r="E1004" t="str">
        <f>"080069754563"</f>
        <v>080069754563</v>
      </c>
      <c r="F1004" s="3">
        <v>45999</v>
      </c>
      <c r="G1004">
        <v>202609</v>
      </c>
      <c r="H1004" t="s">
        <v>75</v>
      </c>
      <c r="I1004" t="s">
        <v>76</v>
      </c>
      <c r="J1004" t="s">
        <v>77</v>
      </c>
      <c r="K1004" t="s">
        <v>78</v>
      </c>
      <c r="L1004" t="s">
        <v>465</v>
      </c>
      <c r="M1004" t="s">
        <v>466</v>
      </c>
      <c r="N1004" t="s">
        <v>1246</v>
      </c>
      <c r="O1004" t="s">
        <v>89</v>
      </c>
      <c r="P1004" t="str">
        <f>"4170072482                    "</f>
        <v xml:space="preserve">4170072482                    </v>
      </c>
      <c r="Q1004">
        <v>0</v>
      </c>
      <c r="R1004">
        <v>0</v>
      </c>
      <c r="S1004">
        <v>0</v>
      </c>
      <c r="T1004">
        <v>0</v>
      </c>
      <c r="U1004">
        <v>0</v>
      </c>
      <c r="V1004">
        <v>0</v>
      </c>
      <c r="W1004">
        <v>0</v>
      </c>
      <c r="X1004">
        <v>0</v>
      </c>
      <c r="Y1004">
        <v>0</v>
      </c>
      <c r="Z1004">
        <v>0</v>
      </c>
      <c r="AA1004">
        <v>0</v>
      </c>
      <c r="AB1004">
        <v>0</v>
      </c>
      <c r="AC1004">
        <v>0</v>
      </c>
      <c r="AD1004">
        <v>0</v>
      </c>
      <c r="AE1004">
        <v>0</v>
      </c>
      <c r="AF1004">
        <v>0</v>
      </c>
      <c r="AG1004">
        <v>0</v>
      </c>
      <c r="AH1004">
        <v>0</v>
      </c>
      <c r="AI1004">
        <v>0</v>
      </c>
      <c r="AJ1004">
        <v>0</v>
      </c>
      <c r="AK1004">
        <v>0</v>
      </c>
      <c r="AL1004">
        <v>0</v>
      </c>
      <c r="AM1004">
        <v>0</v>
      </c>
      <c r="AN1004">
        <v>0</v>
      </c>
      <c r="AO1004">
        <v>0</v>
      </c>
      <c r="AP1004">
        <v>0</v>
      </c>
      <c r="AQ1004">
        <v>19.940000000000001</v>
      </c>
      <c r="AR1004">
        <v>0</v>
      </c>
      <c r="AS1004">
        <v>0</v>
      </c>
      <c r="AT1004">
        <v>0</v>
      </c>
      <c r="AU1004">
        <v>0</v>
      </c>
      <c r="AV1004">
        <v>0</v>
      </c>
      <c r="AW1004">
        <v>0</v>
      </c>
      <c r="AX1004">
        <v>0</v>
      </c>
      <c r="AY1004">
        <v>0</v>
      </c>
      <c r="AZ1004">
        <v>0</v>
      </c>
      <c r="BA1004">
        <v>0</v>
      </c>
      <c r="BB1004">
        <v>0</v>
      </c>
      <c r="BC1004">
        <v>0</v>
      </c>
      <c r="BD1004">
        <v>0</v>
      </c>
      <c r="BE1004">
        <v>0</v>
      </c>
      <c r="BF1004">
        <v>0</v>
      </c>
      <c r="BG1004">
        <v>0</v>
      </c>
      <c r="BH1004">
        <v>1</v>
      </c>
      <c r="BI1004">
        <v>1</v>
      </c>
      <c r="BJ1004">
        <v>0.2</v>
      </c>
      <c r="BK1004">
        <v>1</v>
      </c>
      <c r="BL1004">
        <v>59.42</v>
      </c>
      <c r="BM1004">
        <v>8.91</v>
      </c>
      <c r="BN1004">
        <v>68.33</v>
      </c>
      <c r="BO1004">
        <v>68.33</v>
      </c>
      <c r="BQ1004" t="s">
        <v>1247</v>
      </c>
      <c r="BR1004" t="s">
        <v>82</v>
      </c>
      <c r="BS1004" s="3">
        <v>46000</v>
      </c>
      <c r="BT1004" s="4">
        <v>0.41180555555555554</v>
      </c>
      <c r="BU1004" t="s">
        <v>1781</v>
      </c>
      <c r="BV1004" t="s">
        <v>84</v>
      </c>
      <c r="BY1004">
        <v>1200</v>
      </c>
      <c r="CA1004" t="s">
        <v>1782</v>
      </c>
      <c r="CC1004" t="s">
        <v>466</v>
      </c>
      <c r="CD1004">
        <v>1401</v>
      </c>
      <c r="CE1004" t="s">
        <v>134</v>
      </c>
      <c r="CF1004" s="3">
        <v>46001</v>
      </c>
      <c r="CI1004">
        <v>1</v>
      </c>
      <c r="CJ1004">
        <v>1</v>
      </c>
      <c r="CK1004">
        <v>22</v>
      </c>
      <c r="CL1004" t="s">
        <v>87</v>
      </c>
    </row>
    <row r="1005" spans="1:90" x14ac:dyDescent="0.3">
      <c r="A1005" t="s">
        <v>72</v>
      </c>
      <c r="B1005" t="s">
        <v>73</v>
      </c>
      <c r="C1005" t="s">
        <v>74</v>
      </c>
      <c r="E1005" t="str">
        <f>"080069754603"</f>
        <v>080069754603</v>
      </c>
      <c r="F1005" s="3">
        <v>45999</v>
      </c>
      <c r="G1005">
        <v>202609</v>
      </c>
      <c r="H1005" t="s">
        <v>75</v>
      </c>
      <c r="I1005" t="s">
        <v>76</v>
      </c>
      <c r="J1005" t="s">
        <v>77</v>
      </c>
      <c r="K1005" t="s">
        <v>78</v>
      </c>
      <c r="L1005" t="s">
        <v>176</v>
      </c>
      <c r="M1005" t="s">
        <v>177</v>
      </c>
      <c r="N1005" t="s">
        <v>178</v>
      </c>
      <c r="O1005" t="s">
        <v>89</v>
      </c>
      <c r="P1005" t="str">
        <f>"4170072368                    "</f>
        <v xml:space="preserve">4170072368                    </v>
      </c>
      <c r="Q1005">
        <v>0</v>
      </c>
      <c r="R1005">
        <v>0</v>
      </c>
      <c r="S1005">
        <v>0</v>
      </c>
      <c r="T1005">
        <v>0</v>
      </c>
      <c r="U1005">
        <v>0</v>
      </c>
      <c r="V1005">
        <v>0</v>
      </c>
      <c r="W1005">
        <v>0</v>
      </c>
      <c r="X1005">
        <v>0</v>
      </c>
      <c r="Y1005">
        <v>0</v>
      </c>
      <c r="Z1005">
        <v>0</v>
      </c>
      <c r="AA1005">
        <v>0</v>
      </c>
      <c r="AB1005">
        <v>0</v>
      </c>
      <c r="AC1005">
        <v>0</v>
      </c>
      <c r="AD1005">
        <v>0</v>
      </c>
      <c r="AE1005">
        <v>0</v>
      </c>
      <c r="AF1005">
        <v>0</v>
      </c>
      <c r="AG1005">
        <v>0</v>
      </c>
      <c r="AH1005">
        <v>0</v>
      </c>
      <c r="AI1005">
        <v>0</v>
      </c>
      <c r="AJ1005">
        <v>0</v>
      </c>
      <c r="AK1005">
        <v>0</v>
      </c>
      <c r="AL1005">
        <v>0</v>
      </c>
      <c r="AM1005">
        <v>0</v>
      </c>
      <c r="AN1005">
        <v>0</v>
      </c>
      <c r="AO1005">
        <v>0</v>
      </c>
      <c r="AP1005">
        <v>0</v>
      </c>
      <c r="AQ1005">
        <v>19.940000000000001</v>
      </c>
      <c r="AR1005">
        <v>0</v>
      </c>
      <c r="AS1005">
        <v>0</v>
      </c>
      <c r="AT1005">
        <v>0</v>
      </c>
      <c r="AU1005">
        <v>0</v>
      </c>
      <c r="AV1005">
        <v>0</v>
      </c>
      <c r="AW1005">
        <v>0</v>
      </c>
      <c r="AX1005">
        <v>0</v>
      </c>
      <c r="AY1005">
        <v>0</v>
      </c>
      <c r="AZ1005">
        <v>0</v>
      </c>
      <c r="BA1005">
        <v>0</v>
      </c>
      <c r="BB1005">
        <v>0</v>
      </c>
      <c r="BC1005">
        <v>0</v>
      </c>
      <c r="BD1005">
        <v>0</v>
      </c>
      <c r="BE1005">
        <v>0</v>
      </c>
      <c r="BF1005">
        <v>0</v>
      </c>
      <c r="BG1005">
        <v>0</v>
      </c>
      <c r="BH1005">
        <v>1</v>
      </c>
      <c r="BI1005">
        <v>1</v>
      </c>
      <c r="BJ1005">
        <v>0.2</v>
      </c>
      <c r="BK1005">
        <v>1</v>
      </c>
      <c r="BL1005">
        <v>59.42</v>
      </c>
      <c r="BM1005">
        <v>8.91</v>
      </c>
      <c r="BN1005">
        <v>68.33</v>
      </c>
      <c r="BO1005">
        <v>68.33</v>
      </c>
      <c r="BQ1005" t="s">
        <v>179</v>
      </c>
      <c r="BR1005" t="s">
        <v>82</v>
      </c>
      <c r="BS1005" s="3">
        <v>46000</v>
      </c>
      <c r="BT1005" s="4">
        <v>0.43055555555555558</v>
      </c>
      <c r="BU1005" t="s">
        <v>1775</v>
      </c>
      <c r="BV1005" t="s">
        <v>84</v>
      </c>
      <c r="BY1005">
        <v>1200</v>
      </c>
      <c r="CA1005" t="s">
        <v>182</v>
      </c>
      <c r="CC1005" t="s">
        <v>177</v>
      </c>
      <c r="CD1005">
        <v>2094</v>
      </c>
      <c r="CE1005" t="s">
        <v>134</v>
      </c>
      <c r="CF1005" s="3">
        <v>46001</v>
      </c>
      <c r="CI1005">
        <v>1</v>
      </c>
      <c r="CJ1005">
        <v>1</v>
      </c>
      <c r="CK1005">
        <v>22</v>
      </c>
      <c r="CL1005" t="s">
        <v>87</v>
      </c>
    </row>
    <row r="1006" spans="1:90" x14ac:dyDescent="0.3">
      <c r="A1006" t="s">
        <v>72</v>
      </c>
      <c r="B1006" t="s">
        <v>73</v>
      </c>
      <c r="C1006" t="s">
        <v>74</v>
      </c>
      <c r="E1006" t="str">
        <f>"080069754615"</f>
        <v>080069754615</v>
      </c>
      <c r="F1006" s="3">
        <v>45999</v>
      </c>
      <c r="G1006">
        <v>202609</v>
      </c>
      <c r="H1006" t="s">
        <v>75</v>
      </c>
      <c r="I1006" t="s">
        <v>76</v>
      </c>
      <c r="J1006" t="s">
        <v>77</v>
      </c>
      <c r="K1006" t="s">
        <v>78</v>
      </c>
      <c r="L1006" t="s">
        <v>302</v>
      </c>
      <c r="M1006" t="s">
        <v>303</v>
      </c>
      <c r="N1006" t="s">
        <v>1403</v>
      </c>
      <c r="O1006" t="s">
        <v>89</v>
      </c>
      <c r="P1006" t="str">
        <f>"4170072397                    "</f>
        <v xml:space="preserve">4170072397                    </v>
      </c>
      <c r="Q1006">
        <v>0</v>
      </c>
      <c r="R1006">
        <v>0</v>
      </c>
      <c r="S1006">
        <v>0</v>
      </c>
      <c r="T1006">
        <v>0</v>
      </c>
      <c r="U1006">
        <v>0</v>
      </c>
      <c r="V1006">
        <v>0</v>
      </c>
      <c r="W1006">
        <v>0</v>
      </c>
      <c r="X1006">
        <v>0</v>
      </c>
      <c r="Y1006">
        <v>0</v>
      </c>
      <c r="Z1006">
        <v>0</v>
      </c>
      <c r="AA1006">
        <v>0</v>
      </c>
      <c r="AB1006">
        <v>0</v>
      </c>
      <c r="AC1006">
        <v>0</v>
      </c>
      <c r="AD1006">
        <v>0</v>
      </c>
      <c r="AE1006">
        <v>0</v>
      </c>
      <c r="AF1006">
        <v>0</v>
      </c>
      <c r="AG1006">
        <v>0</v>
      </c>
      <c r="AH1006">
        <v>0</v>
      </c>
      <c r="AI1006">
        <v>0</v>
      </c>
      <c r="AJ1006">
        <v>0</v>
      </c>
      <c r="AK1006">
        <v>0</v>
      </c>
      <c r="AL1006">
        <v>0</v>
      </c>
      <c r="AM1006">
        <v>0</v>
      </c>
      <c r="AN1006">
        <v>0</v>
      </c>
      <c r="AO1006">
        <v>0</v>
      </c>
      <c r="AP1006">
        <v>0</v>
      </c>
      <c r="AQ1006">
        <v>25.52</v>
      </c>
      <c r="AR1006">
        <v>0</v>
      </c>
      <c r="AS1006">
        <v>0</v>
      </c>
      <c r="AT1006">
        <v>0</v>
      </c>
      <c r="AU1006">
        <v>0</v>
      </c>
      <c r="AV1006">
        <v>0</v>
      </c>
      <c r="AW1006">
        <v>0</v>
      </c>
      <c r="AX1006">
        <v>0</v>
      </c>
      <c r="AY1006">
        <v>0</v>
      </c>
      <c r="AZ1006">
        <v>0</v>
      </c>
      <c r="BA1006">
        <v>0</v>
      </c>
      <c r="BB1006">
        <v>0</v>
      </c>
      <c r="BC1006">
        <v>0</v>
      </c>
      <c r="BD1006">
        <v>0</v>
      </c>
      <c r="BE1006">
        <v>0</v>
      </c>
      <c r="BF1006">
        <v>0</v>
      </c>
      <c r="BG1006">
        <v>0</v>
      </c>
      <c r="BH1006">
        <v>1</v>
      </c>
      <c r="BI1006">
        <v>2</v>
      </c>
      <c r="BJ1006">
        <v>1.1000000000000001</v>
      </c>
      <c r="BK1006">
        <v>2</v>
      </c>
      <c r="BL1006">
        <v>76.06</v>
      </c>
      <c r="BM1006">
        <v>11.41</v>
      </c>
      <c r="BN1006">
        <v>87.47</v>
      </c>
      <c r="BO1006">
        <v>87.47</v>
      </c>
      <c r="BQ1006" t="s">
        <v>1404</v>
      </c>
      <c r="BR1006" t="s">
        <v>82</v>
      </c>
      <c r="BS1006" s="3">
        <v>46000</v>
      </c>
      <c r="BT1006" s="4">
        <v>0.35972222222222222</v>
      </c>
      <c r="BU1006" t="s">
        <v>1298</v>
      </c>
      <c r="BV1006" t="s">
        <v>84</v>
      </c>
      <c r="BY1006">
        <v>5320</v>
      </c>
      <c r="CA1006">
        <v>8602010437080</v>
      </c>
      <c r="CC1006" t="s">
        <v>303</v>
      </c>
      <c r="CD1006" s="5" t="s">
        <v>597</v>
      </c>
      <c r="CE1006" t="s">
        <v>86</v>
      </c>
      <c r="CF1006" s="3">
        <v>46000</v>
      </c>
      <c r="CI1006">
        <v>1</v>
      </c>
      <c r="CJ1006">
        <v>1</v>
      </c>
      <c r="CK1006">
        <v>21</v>
      </c>
      <c r="CL1006" t="s">
        <v>87</v>
      </c>
    </row>
    <row r="1007" spans="1:90" x14ac:dyDescent="0.3">
      <c r="A1007" t="s">
        <v>72</v>
      </c>
      <c r="B1007" t="s">
        <v>73</v>
      </c>
      <c r="C1007" t="s">
        <v>74</v>
      </c>
      <c r="E1007" t="str">
        <f>"080069754636"</f>
        <v>080069754636</v>
      </c>
      <c r="F1007" s="3">
        <v>45999</v>
      </c>
      <c r="G1007">
        <v>202609</v>
      </c>
      <c r="H1007" t="s">
        <v>75</v>
      </c>
      <c r="I1007" t="s">
        <v>76</v>
      </c>
      <c r="J1007" t="s">
        <v>77</v>
      </c>
      <c r="K1007" t="s">
        <v>78</v>
      </c>
      <c r="L1007" t="s">
        <v>202</v>
      </c>
      <c r="M1007" t="s">
        <v>203</v>
      </c>
      <c r="N1007" t="s">
        <v>204</v>
      </c>
      <c r="O1007" t="s">
        <v>89</v>
      </c>
      <c r="P1007" t="str">
        <f>"4170072476                    "</f>
        <v xml:space="preserve">4170072476                    </v>
      </c>
      <c r="Q1007">
        <v>0</v>
      </c>
      <c r="R1007">
        <v>0</v>
      </c>
      <c r="S1007">
        <v>0</v>
      </c>
      <c r="T1007">
        <v>0</v>
      </c>
      <c r="U1007">
        <v>0</v>
      </c>
      <c r="V1007">
        <v>0</v>
      </c>
      <c r="W1007">
        <v>0</v>
      </c>
      <c r="X1007">
        <v>0</v>
      </c>
      <c r="Y1007">
        <v>0</v>
      </c>
      <c r="Z1007">
        <v>0</v>
      </c>
      <c r="AA1007">
        <v>0</v>
      </c>
      <c r="AB1007">
        <v>0</v>
      </c>
      <c r="AC1007">
        <v>0</v>
      </c>
      <c r="AD1007">
        <v>0</v>
      </c>
      <c r="AE1007">
        <v>0</v>
      </c>
      <c r="AF1007">
        <v>0</v>
      </c>
      <c r="AG1007">
        <v>0</v>
      </c>
      <c r="AH1007">
        <v>0</v>
      </c>
      <c r="AI1007">
        <v>0</v>
      </c>
      <c r="AJ1007">
        <v>0</v>
      </c>
      <c r="AK1007">
        <v>0</v>
      </c>
      <c r="AL1007">
        <v>0</v>
      </c>
      <c r="AM1007">
        <v>0</v>
      </c>
      <c r="AN1007">
        <v>0</v>
      </c>
      <c r="AO1007">
        <v>0</v>
      </c>
      <c r="AP1007">
        <v>0</v>
      </c>
      <c r="AQ1007">
        <v>49.45</v>
      </c>
      <c r="AR1007">
        <v>0</v>
      </c>
      <c r="AS1007">
        <v>0</v>
      </c>
      <c r="AT1007">
        <v>0</v>
      </c>
      <c r="AU1007">
        <v>0</v>
      </c>
      <c r="AV1007">
        <v>0</v>
      </c>
      <c r="AW1007">
        <v>0</v>
      </c>
      <c r="AX1007">
        <v>0</v>
      </c>
      <c r="AY1007">
        <v>0</v>
      </c>
      <c r="AZ1007">
        <v>0</v>
      </c>
      <c r="BA1007">
        <v>0</v>
      </c>
      <c r="BB1007">
        <v>0</v>
      </c>
      <c r="BC1007">
        <v>0</v>
      </c>
      <c r="BD1007">
        <v>0</v>
      </c>
      <c r="BE1007">
        <v>0</v>
      </c>
      <c r="BF1007">
        <v>0</v>
      </c>
      <c r="BG1007">
        <v>0</v>
      </c>
      <c r="BH1007">
        <v>1</v>
      </c>
      <c r="BI1007">
        <v>1</v>
      </c>
      <c r="BJ1007">
        <v>0.2</v>
      </c>
      <c r="BK1007">
        <v>1</v>
      </c>
      <c r="BL1007">
        <v>147.38</v>
      </c>
      <c r="BM1007">
        <v>22.11</v>
      </c>
      <c r="BN1007">
        <v>169.49</v>
      </c>
      <c r="BO1007">
        <v>169.49</v>
      </c>
      <c r="BQ1007" t="s">
        <v>205</v>
      </c>
      <c r="BR1007" t="s">
        <v>82</v>
      </c>
      <c r="BS1007" s="3">
        <v>46000</v>
      </c>
      <c r="BT1007" s="4">
        <v>0.47361111111111109</v>
      </c>
      <c r="BU1007" t="s">
        <v>1235</v>
      </c>
      <c r="BV1007" t="s">
        <v>84</v>
      </c>
      <c r="BY1007">
        <v>1200</v>
      </c>
      <c r="CA1007">
        <v>7908245451080</v>
      </c>
      <c r="CC1007" t="s">
        <v>203</v>
      </c>
      <c r="CD1007">
        <v>2531</v>
      </c>
      <c r="CE1007" t="s">
        <v>450</v>
      </c>
      <c r="CF1007" s="3">
        <v>46001</v>
      </c>
      <c r="CI1007">
        <v>1</v>
      </c>
      <c r="CJ1007">
        <v>1</v>
      </c>
      <c r="CK1007">
        <v>23</v>
      </c>
      <c r="CL1007" t="s">
        <v>87</v>
      </c>
    </row>
    <row r="1008" spans="1:90" x14ac:dyDescent="0.3">
      <c r="A1008" t="s">
        <v>72</v>
      </c>
      <c r="B1008" t="s">
        <v>73</v>
      </c>
      <c r="C1008" t="s">
        <v>74</v>
      </c>
      <c r="E1008" t="str">
        <f>"080069754646"</f>
        <v>080069754646</v>
      </c>
      <c r="F1008" s="3">
        <v>45999</v>
      </c>
      <c r="G1008">
        <v>202609</v>
      </c>
      <c r="H1008" t="s">
        <v>75</v>
      </c>
      <c r="I1008" t="s">
        <v>76</v>
      </c>
      <c r="J1008" t="s">
        <v>77</v>
      </c>
      <c r="K1008" t="s">
        <v>78</v>
      </c>
      <c r="L1008" t="s">
        <v>156</v>
      </c>
      <c r="M1008" t="s">
        <v>157</v>
      </c>
      <c r="N1008" t="s">
        <v>261</v>
      </c>
      <c r="O1008" t="s">
        <v>89</v>
      </c>
      <c r="P1008" t="str">
        <f>"4170072338                    "</f>
        <v xml:space="preserve">4170072338                    </v>
      </c>
      <c r="Q1008">
        <v>0</v>
      </c>
      <c r="R1008">
        <v>0</v>
      </c>
      <c r="S1008">
        <v>0</v>
      </c>
      <c r="T1008">
        <v>0</v>
      </c>
      <c r="U1008">
        <v>0</v>
      </c>
      <c r="V1008">
        <v>0</v>
      </c>
      <c r="W1008">
        <v>0</v>
      </c>
      <c r="X1008">
        <v>0</v>
      </c>
      <c r="Y1008">
        <v>0</v>
      </c>
      <c r="Z1008">
        <v>0</v>
      </c>
      <c r="AA1008">
        <v>0</v>
      </c>
      <c r="AB1008">
        <v>0</v>
      </c>
      <c r="AC1008">
        <v>0</v>
      </c>
      <c r="AD1008">
        <v>0</v>
      </c>
      <c r="AE1008">
        <v>0</v>
      </c>
      <c r="AF1008">
        <v>0</v>
      </c>
      <c r="AG1008">
        <v>0</v>
      </c>
      <c r="AH1008">
        <v>0</v>
      </c>
      <c r="AI1008">
        <v>0</v>
      </c>
      <c r="AJ1008">
        <v>0</v>
      </c>
      <c r="AK1008">
        <v>0</v>
      </c>
      <c r="AL1008">
        <v>0</v>
      </c>
      <c r="AM1008">
        <v>0</v>
      </c>
      <c r="AN1008">
        <v>0</v>
      </c>
      <c r="AO1008">
        <v>0</v>
      </c>
      <c r="AP1008">
        <v>0</v>
      </c>
      <c r="AQ1008">
        <v>25.52</v>
      </c>
      <c r="AR1008">
        <v>0</v>
      </c>
      <c r="AS1008">
        <v>0</v>
      </c>
      <c r="AT1008">
        <v>0</v>
      </c>
      <c r="AU1008">
        <v>0</v>
      </c>
      <c r="AV1008">
        <v>0</v>
      </c>
      <c r="AW1008">
        <v>0</v>
      </c>
      <c r="AX1008">
        <v>0</v>
      </c>
      <c r="AY1008">
        <v>0</v>
      </c>
      <c r="AZ1008">
        <v>0</v>
      </c>
      <c r="BA1008">
        <v>0</v>
      </c>
      <c r="BB1008">
        <v>0</v>
      </c>
      <c r="BC1008">
        <v>0</v>
      </c>
      <c r="BD1008">
        <v>0</v>
      </c>
      <c r="BE1008">
        <v>0</v>
      </c>
      <c r="BF1008">
        <v>0</v>
      </c>
      <c r="BG1008">
        <v>0</v>
      </c>
      <c r="BH1008">
        <v>1</v>
      </c>
      <c r="BI1008">
        <v>2</v>
      </c>
      <c r="BJ1008">
        <v>1.5</v>
      </c>
      <c r="BK1008">
        <v>2</v>
      </c>
      <c r="BL1008">
        <v>76.06</v>
      </c>
      <c r="BM1008">
        <v>11.41</v>
      </c>
      <c r="BN1008">
        <v>87.47</v>
      </c>
      <c r="BO1008">
        <v>87.47</v>
      </c>
      <c r="BQ1008" t="s">
        <v>262</v>
      </c>
      <c r="BR1008" t="s">
        <v>82</v>
      </c>
      <c r="BS1008" s="3">
        <v>46000</v>
      </c>
      <c r="BT1008" s="4">
        <v>0.40069444444444446</v>
      </c>
      <c r="BU1008" t="s">
        <v>1130</v>
      </c>
      <c r="BV1008" t="s">
        <v>84</v>
      </c>
      <c r="BY1008">
        <v>7540</v>
      </c>
      <c r="CA1008" t="s">
        <v>264</v>
      </c>
      <c r="CC1008" t="s">
        <v>157</v>
      </c>
      <c r="CD1008">
        <v>7441</v>
      </c>
      <c r="CE1008" t="s">
        <v>86</v>
      </c>
      <c r="CF1008" s="3">
        <v>46001</v>
      </c>
      <c r="CI1008">
        <v>1</v>
      </c>
      <c r="CJ1008">
        <v>1</v>
      </c>
      <c r="CK1008">
        <v>21</v>
      </c>
      <c r="CL1008" t="s">
        <v>87</v>
      </c>
    </row>
    <row r="1009" spans="1:90" x14ac:dyDescent="0.3">
      <c r="A1009" t="s">
        <v>72</v>
      </c>
      <c r="B1009" t="s">
        <v>73</v>
      </c>
      <c r="C1009" t="s">
        <v>74</v>
      </c>
      <c r="E1009" t="str">
        <f>"080069754704"</f>
        <v>080069754704</v>
      </c>
      <c r="F1009" s="3">
        <v>45999</v>
      </c>
      <c r="G1009">
        <v>202609</v>
      </c>
      <c r="H1009" t="s">
        <v>75</v>
      </c>
      <c r="I1009" t="s">
        <v>76</v>
      </c>
      <c r="J1009" t="s">
        <v>77</v>
      </c>
      <c r="K1009" t="s">
        <v>78</v>
      </c>
      <c r="L1009" t="s">
        <v>141</v>
      </c>
      <c r="M1009" t="s">
        <v>142</v>
      </c>
      <c r="N1009" t="s">
        <v>845</v>
      </c>
      <c r="O1009" t="s">
        <v>89</v>
      </c>
      <c r="P1009" t="str">
        <f>"4170072544                    "</f>
        <v xml:space="preserve">4170072544                    </v>
      </c>
      <c r="Q1009">
        <v>0</v>
      </c>
      <c r="R1009">
        <v>0</v>
      </c>
      <c r="S1009">
        <v>0</v>
      </c>
      <c r="T1009">
        <v>0</v>
      </c>
      <c r="U1009">
        <v>0</v>
      </c>
      <c r="V1009">
        <v>0</v>
      </c>
      <c r="W1009">
        <v>0</v>
      </c>
      <c r="X1009">
        <v>0</v>
      </c>
      <c r="Y1009">
        <v>0</v>
      </c>
      <c r="Z1009">
        <v>0</v>
      </c>
      <c r="AA1009">
        <v>0</v>
      </c>
      <c r="AB1009">
        <v>0</v>
      </c>
      <c r="AC1009">
        <v>0</v>
      </c>
      <c r="AD1009">
        <v>0</v>
      </c>
      <c r="AE1009">
        <v>0</v>
      </c>
      <c r="AF1009">
        <v>0</v>
      </c>
      <c r="AG1009">
        <v>0</v>
      </c>
      <c r="AH1009">
        <v>0</v>
      </c>
      <c r="AI1009">
        <v>0</v>
      </c>
      <c r="AJ1009">
        <v>0</v>
      </c>
      <c r="AK1009">
        <v>0</v>
      </c>
      <c r="AL1009">
        <v>0</v>
      </c>
      <c r="AM1009">
        <v>0</v>
      </c>
      <c r="AN1009">
        <v>0</v>
      </c>
      <c r="AO1009">
        <v>0</v>
      </c>
      <c r="AP1009">
        <v>0</v>
      </c>
      <c r="AQ1009">
        <v>25.52</v>
      </c>
      <c r="AR1009">
        <v>0</v>
      </c>
      <c r="AS1009">
        <v>0</v>
      </c>
      <c r="AT1009">
        <v>0</v>
      </c>
      <c r="AU1009">
        <v>0</v>
      </c>
      <c r="AV1009">
        <v>0</v>
      </c>
      <c r="AW1009">
        <v>0</v>
      </c>
      <c r="AX1009">
        <v>0</v>
      </c>
      <c r="AY1009">
        <v>0</v>
      </c>
      <c r="AZ1009">
        <v>0</v>
      </c>
      <c r="BA1009">
        <v>0</v>
      </c>
      <c r="BB1009">
        <v>0</v>
      </c>
      <c r="BC1009">
        <v>0</v>
      </c>
      <c r="BD1009">
        <v>0</v>
      </c>
      <c r="BE1009">
        <v>0</v>
      </c>
      <c r="BF1009">
        <v>0</v>
      </c>
      <c r="BG1009">
        <v>0</v>
      </c>
      <c r="BH1009">
        <v>1</v>
      </c>
      <c r="BI1009">
        <v>1</v>
      </c>
      <c r="BJ1009">
        <v>1.5</v>
      </c>
      <c r="BK1009">
        <v>1.5</v>
      </c>
      <c r="BL1009">
        <v>76.06</v>
      </c>
      <c r="BM1009">
        <v>11.41</v>
      </c>
      <c r="BN1009">
        <v>87.47</v>
      </c>
      <c r="BO1009">
        <v>87.47</v>
      </c>
      <c r="BQ1009" t="s">
        <v>846</v>
      </c>
      <c r="BR1009" t="s">
        <v>82</v>
      </c>
      <c r="BS1009" s="3">
        <v>46000</v>
      </c>
      <c r="BT1009" s="4">
        <v>0.34375</v>
      </c>
      <c r="BU1009" t="s">
        <v>1783</v>
      </c>
      <c r="BV1009" t="s">
        <v>84</v>
      </c>
      <c r="BY1009">
        <v>7448</v>
      </c>
      <c r="CA1009" t="s">
        <v>1228</v>
      </c>
      <c r="CC1009" t="s">
        <v>142</v>
      </c>
      <c r="CD1009">
        <v>6045</v>
      </c>
      <c r="CE1009" t="s">
        <v>93</v>
      </c>
      <c r="CF1009" s="3">
        <v>46000</v>
      </c>
      <c r="CI1009">
        <v>1</v>
      </c>
      <c r="CJ1009">
        <v>1</v>
      </c>
      <c r="CK1009">
        <v>21</v>
      </c>
      <c r="CL1009" t="s">
        <v>87</v>
      </c>
    </row>
    <row r="1010" spans="1:90" x14ac:dyDescent="0.3">
      <c r="A1010" t="s">
        <v>72</v>
      </c>
      <c r="B1010" t="s">
        <v>73</v>
      </c>
      <c r="C1010" t="s">
        <v>74</v>
      </c>
      <c r="E1010" t="str">
        <f>"080069754740"</f>
        <v>080069754740</v>
      </c>
      <c r="F1010" s="3">
        <v>45999</v>
      </c>
      <c r="G1010">
        <v>202609</v>
      </c>
      <c r="H1010" t="s">
        <v>75</v>
      </c>
      <c r="I1010" t="s">
        <v>76</v>
      </c>
      <c r="J1010" t="s">
        <v>77</v>
      </c>
      <c r="K1010" t="s">
        <v>78</v>
      </c>
      <c r="L1010" t="s">
        <v>100</v>
      </c>
      <c r="M1010" t="s">
        <v>101</v>
      </c>
      <c r="N1010" t="s">
        <v>1784</v>
      </c>
      <c r="O1010" t="s">
        <v>89</v>
      </c>
      <c r="P1010" t="str">
        <f>"4170072528                    "</f>
        <v xml:space="preserve">4170072528                    </v>
      </c>
      <c r="Q1010">
        <v>0</v>
      </c>
      <c r="R1010">
        <v>0</v>
      </c>
      <c r="S1010">
        <v>0</v>
      </c>
      <c r="T1010">
        <v>0</v>
      </c>
      <c r="U1010">
        <v>0</v>
      </c>
      <c r="V1010">
        <v>0</v>
      </c>
      <c r="W1010">
        <v>0</v>
      </c>
      <c r="X1010">
        <v>0</v>
      </c>
      <c r="Y1010">
        <v>0</v>
      </c>
      <c r="Z1010">
        <v>0</v>
      </c>
      <c r="AA1010">
        <v>0</v>
      </c>
      <c r="AB1010">
        <v>0</v>
      </c>
      <c r="AC1010">
        <v>0</v>
      </c>
      <c r="AD1010">
        <v>0</v>
      </c>
      <c r="AE1010">
        <v>0</v>
      </c>
      <c r="AF1010">
        <v>0</v>
      </c>
      <c r="AG1010">
        <v>0</v>
      </c>
      <c r="AH1010">
        <v>0</v>
      </c>
      <c r="AI1010">
        <v>0</v>
      </c>
      <c r="AJ1010">
        <v>0</v>
      </c>
      <c r="AK1010">
        <v>0</v>
      </c>
      <c r="AL1010">
        <v>0</v>
      </c>
      <c r="AM1010">
        <v>0</v>
      </c>
      <c r="AN1010">
        <v>0</v>
      </c>
      <c r="AO1010">
        <v>0</v>
      </c>
      <c r="AP1010">
        <v>0</v>
      </c>
      <c r="AQ1010">
        <v>76.55</v>
      </c>
      <c r="AR1010">
        <v>0</v>
      </c>
      <c r="AS1010">
        <v>0</v>
      </c>
      <c r="AT1010">
        <v>0</v>
      </c>
      <c r="AU1010">
        <v>0</v>
      </c>
      <c r="AV1010">
        <v>0</v>
      </c>
      <c r="AW1010">
        <v>0</v>
      </c>
      <c r="AX1010">
        <v>0</v>
      </c>
      <c r="AY1010">
        <v>0</v>
      </c>
      <c r="AZ1010">
        <v>0</v>
      </c>
      <c r="BA1010">
        <v>0</v>
      </c>
      <c r="BB1010">
        <v>0</v>
      </c>
      <c r="BC1010">
        <v>0</v>
      </c>
      <c r="BD1010">
        <v>0</v>
      </c>
      <c r="BE1010">
        <v>0</v>
      </c>
      <c r="BF1010">
        <v>0</v>
      </c>
      <c r="BG1010">
        <v>0</v>
      </c>
      <c r="BH1010">
        <v>1</v>
      </c>
      <c r="BI1010">
        <v>3</v>
      </c>
      <c r="BJ1010">
        <v>5.7</v>
      </c>
      <c r="BK1010">
        <v>6</v>
      </c>
      <c r="BL1010">
        <v>228.13</v>
      </c>
      <c r="BM1010">
        <v>34.22</v>
      </c>
      <c r="BN1010">
        <v>262.35000000000002</v>
      </c>
      <c r="BO1010">
        <v>262.35000000000002</v>
      </c>
      <c r="BQ1010" t="s">
        <v>1785</v>
      </c>
      <c r="BR1010" t="s">
        <v>82</v>
      </c>
      <c r="BS1010" s="3">
        <v>46000</v>
      </c>
      <c r="BT1010" s="4">
        <v>0.37430555555555556</v>
      </c>
      <c r="BU1010" t="s">
        <v>1786</v>
      </c>
      <c r="BV1010" t="s">
        <v>84</v>
      </c>
      <c r="BY1010">
        <v>28560</v>
      </c>
      <c r="CA1010" t="s">
        <v>1070</v>
      </c>
      <c r="CC1010" t="s">
        <v>101</v>
      </c>
      <c r="CD1010">
        <v>4017</v>
      </c>
      <c r="CE1010" t="s">
        <v>93</v>
      </c>
      <c r="CF1010" s="3">
        <v>46001</v>
      </c>
      <c r="CI1010">
        <v>1</v>
      </c>
      <c r="CJ1010">
        <v>1</v>
      </c>
      <c r="CK1010">
        <v>21</v>
      </c>
      <c r="CL1010" t="s">
        <v>87</v>
      </c>
    </row>
    <row r="1011" spans="1:90" x14ac:dyDescent="0.3">
      <c r="A1011" t="s">
        <v>72</v>
      </c>
      <c r="B1011" t="s">
        <v>73</v>
      </c>
      <c r="C1011" t="s">
        <v>74</v>
      </c>
      <c r="E1011" t="str">
        <f>"080069754787"</f>
        <v>080069754787</v>
      </c>
      <c r="F1011" s="3">
        <v>45999</v>
      </c>
      <c r="G1011">
        <v>202609</v>
      </c>
      <c r="H1011" t="s">
        <v>75</v>
      </c>
      <c r="I1011" t="s">
        <v>76</v>
      </c>
      <c r="J1011" t="s">
        <v>77</v>
      </c>
      <c r="K1011" t="s">
        <v>78</v>
      </c>
      <c r="L1011" t="s">
        <v>94</v>
      </c>
      <c r="M1011" t="s">
        <v>95</v>
      </c>
      <c r="N1011" t="s">
        <v>96</v>
      </c>
      <c r="O1011" t="s">
        <v>89</v>
      </c>
      <c r="P1011" t="str">
        <f>"4170072429                    "</f>
        <v xml:space="preserve">4170072429                    </v>
      </c>
      <c r="Q1011">
        <v>0</v>
      </c>
      <c r="R1011">
        <v>0</v>
      </c>
      <c r="S1011">
        <v>0</v>
      </c>
      <c r="T1011">
        <v>0</v>
      </c>
      <c r="U1011">
        <v>0</v>
      </c>
      <c r="V1011">
        <v>0</v>
      </c>
      <c r="W1011">
        <v>0</v>
      </c>
      <c r="X1011">
        <v>0</v>
      </c>
      <c r="Y1011">
        <v>0</v>
      </c>
      <c r="Z1011">
        <v>0</v>
      </c>
      <c r="AA1011">
        <v>0</v>
      </c>
      <c r="AB1011">
        <v>0</v>
      </c>
      <c r="AC1011">
        <v>0</v>
      </c>
      <c r="AD1011">
        <v>0</v>
      </c>
      <c r="AE1011">
        <v>0</v>
      </c>
      <c r="AF1011">
        <v>0</v>
      </c>
      <c r="AG1011">
        <v>0</v>
      </c>
      <c r="AH1011">
        <v>0</v>
      </c>
      <c r="AI1011">
        <v>0</v>
      </c>
      <c r="AJ1011">
        <v>0</v>
      </c>
      <c r="AK1011">
        <v>0</v>
      </c>
      <c r="AL1011">
        <v>0</v>
      </c>
      <c r="AM1011">
        <v>0</v>
      </c>
      <c r="AN1011">
        <v>0</v>
      </c>
      <c r="AO1011">
        <v>0</v>
      </c>
      <c r="AP1011">
        <v>0</v>
      </c>
      <c r="AQ1011">
        <v>51.04</v>
      </c>
      <c r="AR1011">
        <v>0</v>
      </c>
      <c r="AS1011">
        <v>0</v>
      </c>
      <c r="AT1011">
        <v>0</v>
      </c>
      <c r="AU1011">
        <v>0</v>
      </c>
      <c r="AV1011">
        <v>0</v>
      </c>
      <c r="AW1011">
        <v>0</v>
      </c>
      <c r="AX1011">
        <v>0</v>
      </c>
      <c r="AY1011">
        <v>0</v>
      </c>
      <c r="AZ1011">
        <v>0</v>
      </c>
      <c r="BA1011">
        <v>0</v>
      </c>
      <c r="BB1011">
        <v>0</v>
      </c>
      <c r="BC1011">
        <v>0</v>
      </c>
      <c r="BD1011">
        <v>0</v>
      </c>
      <c r="BE1011">
        <v>0</v>
      </c>
      <c r="BF1011">
        <v>0</v>
      </c>
      <c r="BG1011">
        <v>0</v>
      </c>
      <c r="BH1011">
        <v>1</v>
      </c>
      <c r="BI1011">
        <v>4</v>
      </c>
      <c r="BJ1011">
        <v>1.9</v>
      </c>
      <c r="BK1011">
        <v>4</v>
      </c>
      <c r="BL1011">
        <v>152.1</v>
      </c>
      <c r="BM1011">
        <v>22.82</v>
      </c>
      <c r="BN1011">
        <v>174.92</v>
      </c>
      <c r="BO1011">
        <v>174.92</v>
      </c>
      <c r="BQ1011" t="s">
        <v>97</v>
      </c>
      <c r="BR1011" t="s">
        <v>82</v>
      </c>
      <c r="BS1011" s="3">
        <v>46000</v>
      </c>
      <c r="BT1011" s="4">
        <v>0.4152777777777778</v>
      </c>
      <c r="BU1011" t="s">
        <v>98</v>
      </c>
      <c r="BV1011" t="s">
        <v>84</v>
      </c>
      <c r="BY1011">
        <v>9576</v>
      </c>
      <c r="CA1011" t="s">
        <v>99</v>
      </c>
      <c r="CC1011" t="s">
        <v>95</v>
      </c>
      <c r="CD1011">
        <v>3610</v>
      </c>
      <c r="CE1011" t="s">
        <v>86</v>
      </c>
      <c r="CF1011" s="3">
        <v>46001</v>
      </c>
      <c r="CI1011">
        <v>1</v>
      </c>
      <c r="CJ1011">
        <v>1</v>
      </c>
      <c r="CK1011">
        <v>21</v>
      </c>
      <c r="CL1011" t="s">
        <v>87</v>
      </c>
    </row>
    <row r="1012" spans="1:90" x14ac:dyDescent="0.3">
      <c r="A1012" t="s">
        <v>72</v>
      </c>
      <c r="B1012" t="s">
        <v>73</v>
      </c>
      <c r="C1012" t="s">
        <v>74</v>
      </c>
      <c r="E1012" t="str">
        <f>"080069754850"</f>
        <v>080069754850</v>
      </c>
      <c r="F1012" s="3">
        <v>45999</v>
      </c>
      <c r="G1012">
        <v>202609</v>
      </c>
      <c r="H1012" t="s">
        <v>75</v>
      </c>
      <c r="I1012" t="s">
        <v>76</v>
      </c>
      <c r="J1012" t="s">
        <v>77</v>
      </c>
      <c r="K1012" t="s">
        <v>78</v>
      </c>
      <c r="L1012" t="s">
        <v>265</v>
      </c>
      <c r="M1012" t="s">
        <v>266</v>
      </c>
      <c r="N1012" t="s">
        <v>1787</v>
      </c>
      <c r="O1012" t="s">
        <v>89</v>
      </c>
      <c r="P1012" t="str">
        <f>"4170070923                    "</f>
        <v xml:space="preserve">4170070923                    </v>
      </c>
      <c r="Q1012">
        <v>0</v>
      </c>
      <c r="R1012">
        <v>0</v>
      </c>
      <c r="S1012">
        <v>0</v>
      </c>
      <c r="T1012">
        <v>0</v>
      </c>
      <c r="U1012">
        <v>0</v>
      </c>
      <c r="V1012">
        <v>0</v>
      </c>
      <c r="W1012">
        <v>0</v>
      </c>
      <c r="X1012">
        <v>0</v>
      </c>
      <c r="Y1012">
        <v>0</v>
      </c>
      <c r="Z1012">
        <v>0</v>
      </c>
      <c r="AA1012">
        <v>0</v>
      </c>
      <c r="AB1012">
        <v>0</v>
      </c>
      <c r="AC1012">
        <v>0</v>
      </c>
      <c r="AD1012">
        <v>0</v>
      </c>
      <c r="AE1012">
        <v>0</v>
      </c>
      <c r="AF1012">
        <v>0</v>
      </c>
      <c r="AG1012">
        <v>0</v>
      </c>
      <c r="AH1012">
        <v>0</v>
      </c>
      <c r="AI1012">
        <v>0</v>
      </c>
      <c r="AJ1012">
        <v>0</v>
      </c>
      <c r="AK1012">
        <v>0</v>
      </c>
      <c r="AL1012">
        <v>0</v>
      </c>
      <c r="AM1012">
        <v>0</v>
      </c>
      <c r="AN1012">
        <v>0</v>
      </c>
      <c r="AO1012">
        <v>0</v>
      </c>
      <c r="AP1012">
        <v>0</v>
      </c>
      <c r="AQ1012">
        <v>19.940000000000001</v>
      </c>
      <c r="AR1012">
        <v>0</v>
      </c>
      <c r="AS1012">
        <v>0</v>
      </c>
      <c r="AT1012">
        <v>0</v>
      </c>
      <c r="AU1012">
        <v>0</v>
      </c>
      <c r="AV1012">
        <v>0</v>
      </c>
      <c r="AW1012">
        <v>0</v>
      </c>
      <c r="AX1012">
        <v>0</v>
      </c>
      <c r="AY1012">
        <v>0</v>
      </c>
      <c r="AZ1012">
        <v>0</v>
      </c>
      <c r="BA1012">
        <v>0</v>
      </c>
      <c r="BB1012">
        <v>0</v>
      </c>
      <c r="BC1012">
        <v>0</v>
      </c>
      <c r="BD1012">
        <v>0</v>
      </c>
      <c r="BE1012">
        <v>0</v>
      </c>
      <c r="BF1012">
        <v>0</v>
      </c>
      <c r="BG1012">
        <v>0</v>
      </c>
      <c r="BH1012">
        <v>1</v>
      </c>
      <c r="BI1012">
        <v>1</v>
      </c>
      <c r="BJ1012">
        <v>4.0999999999999996</v>
      </c>
      <c r="BK1012">
        <v>5</v>
      </c>
      <c r="BL1012">
        <v>59.42</v>
      </c>
      <c r="BM1012">
        <v>8.91</v>
      </c>
      <c r="BN1012">
        <v>68.33</v>
      </c>
      <c r="BO1012">
        <v>68.33</v>
      </c>
      <c r="BQ1012" t="s">
        <v>1788</v>
      </c>
      <c r="BR1012" t="s">
        <v>82</v>
      </c>
      <c r="BS1012" s="3">
        <v>46000</v>
      </c>
      <c r="BT1012" s="4">
        <v>0.4375</v>
      </c>
      <c r="BU1012" t="s">
        <v>1789</v>
      </c>
      <c r="BV1012" t="s">
        <v>84</v>
      </c>
      <c r="BY1012">
        <v>20358</v>
      </c>
      <c r="CC1012" t="s">
        <v>266</v>
      </c>
      <c r="CD1012">
        <v>1459</v>
      </c>
      <c r="CE1012" t="s">
        <v>86</v>
      </c>
      <c r="CF1012" s="3">
        <v>46001</v>
      </c>
      <c r="CI1012">
        <v>1</v>
      </c>
      <c r="CJ1012">
        <v>1</v>
      </c>
      <c r="CK1012">
        <v>22</v>
      </c>
      <c r="CL1012" t="s">
        <v>87</v>
      </c>
    </row>
    <row r="1013" spans="1:90" x14ac:dyDescent="0.3">
      <c r="A1013" t="s">
        <v>72</v>
      </c>
      <c r="B1013" t="s">
        <v>73</v>
      </c>
      <c r="C1013" t="s">
        <v>74</v>
      </c>
      <c r="E1013" t="str">
        <f>"080069755129"</f>
        <v>080069755129</v>
      </c>
      <c r="F1013" s="3">
        <v>45999</v>
      </c>
      <c r="G1013">
        <v>202609</v>
      </c>
      <c r="H1013" t="s">
        <v>75</v>
      </c>
      <c r="I1013" t="s">
        <v>76</v>
      </c>
      <c r="J1013" t="s">
        <v>77</v>
      </c>
      <c r="K1013" t="s">
        <v>78</v>
      </c>
      <c r="L1013" t="s">
        <v>100</v>
      </c>
      <c r="M1013" t="s">
        <v>101</v>
      </c>
      <c r="N1013" t="s">
        <v>102</v>
      </c>
      <c r="O1013" t="s">
        <v>89</v>
      </c>
      <c r="P1013" t="str">
        <f>"4170072407                    "</f>
        <v xml:space="preserve">4170072407                    </v>
      </c>
      <c r="Q1013">
        <v>0</v>
      </c>
      <c r="R1013">
        <v>0</v>
      </c>
      <c r="S1013">
        <v>0</v>
      </c>
      <c r="T1013">
        <v>0</v>
      </c>
      <c r="U1013">
        <v>0</v>
      </c>
      <c r="V1013">
        <v>0</v>
      </c>
      <c r="W1013">
        <v>0</v>
      </c>
      <c r="X1013">
        <v>0</v>
      </c>
      <c r="Y1013">
        <v>0</v>
      </c>
      <c r="Z1013">
        <v>0</v>
      </c>
      <c r="AA1013">
        <v>0</v>
      </c>
      <c r="AB1013">
        <v>0</v>
      </c>
      <c r="AC1013">
        <v>0</v>
      </c>
      <c r="AD1013">
        <v>0</v>
      </c>
      <c r="AE1013">
        <v>0</v>
      </c>
      <c r="AF1013">
        <v>0</v>
      </c>
      <c r="AG1013">
        <v>0</v>
      </c>
      <c r="AH1013">
        <v>0</v>
      </c>
      <c r="AI1013">
        <v>0</v>
      </c>
      <c r="AJ1013">
        <v>0</v>
      </c>
      <c r="AK1013">
        <v>0</v>
      </c>
      <c r="AL1013">
        <v>0</v>
      </c>
      <c r="AM1013">
        <v>0</v>
      </c>
      <c r="AN1013">
        <v>0</v>
      </c>
      <c r="AO1013">
        <v>0</v>
      </c>
      <c r="AP1013">
        <v>0</v>
      </c>
      <c r="AQ1013">
        <v>25.52</v>
      </c>
      <c r="AR1013">
        <v>0</v>
      </c>
      <c r="AS1013">
        <v>0</v>
      </c>
      <c r="AT1013">
        <v>0</v>
      </c>
      <c r="AU1013">
        <v>0</v>
      </c>
      <c r="AV1013">
        <v>0</v>
      </c>
      <c r="AW1013">
        <v>0</v>
      </c>
      <c r="AX1013">
        <v>0</v>
      </c>
      <c r="AY1013">
        <v>0</v>
      </c>
      <c r="AZ1013">
        <v>0</v>
      </c>
      <c r="BA1013">
        <v>0</v>
      </c>
      <c r="BB1013">
        <v>0</v>
      </c>
      <c r="BC1013">
        <v>0</v>
      </c>
      <c r="BD1013">
        <v>0</v>
      </c>
      <c r="BE1013">
        <v>0</v>
      </c>
      <c r="BF1013">
        <v>0</v>
      </c>
      <c r="BG1013">
        <v>0</v>
      </c>
      <c r="BH1013">
        <v>1</v>
      </c>
      <c r="BI1013">
        <v>1</v>
      </c>
      <c r="BJ1013">
        <v>0.2</v>
      </c>
      <c r="BK1013">
        <v>1</v>
      </c>
      <c r="BL1013">
        <v>76.06</v>
      </c>
      <c r="BM1013">
        <v>11.41</v>
      </c>
      <c r="BN1013">
        <v>87.47</v>
      </c>
      <c r="BO1013">
        <v>87.47</v>
      </c>
      <c r="BQ1013" t="s">
        <v>103</v>
      </c>
      <c r="BR1013" t="s">
        <v>82</v>
      </c>
      <c r="BS1013" s="3">
        <v>46000</v>
      </c>
      <c r="BT1013" s="4">
        <v>0.35833333333333334</v>
      </c>
      <c r="BU1013" t="s">
        <v>104</v>
      </c>
      <c r="BV1013" t="s">
        <v>84</v>
      </c>
      <c r="BY1013">
        <v>1200</v>
      </c>
      <c r="CA1013" t="s">
        <v>107</v>
      </c>
      <c r="CC1013" t="s">
        <v>101</v>
      </c>
      <c r="CD1013">
        <v>4051</v>
      </c>
      <c r="CE1013" t="s">
        <v>134</v>
      </c>
      <c r="CF1013" s="3">
        <v>46001</v>
      </c>
      <c r="CI1013">
        <v>1</v>
      </c>
      <c r="CJ1013">
        <v>1</v>
      </c>
      <c r="CK1013">
        <v>21</v>
      </c>
      <c r="CL1013" t="s">
        <v>87</v>
      </c>
    </row>
    <row r="1014" spans="1:90" x14ac:dyDescent="0.3">
      <c r="A1014" t="s">
        <v>72</v>
      </c>
      <c r="B1014" t="s">
        <v>73</v>
      </c>
      <c r="C1014" t="s">
        <v>74</v>
      </c>
      <c r="E1014" t="str">
        <f>"080069755182"</f>
        <v>080069755182</v>
      </c>
      <c r="F1014" s="3">
        <v>45999</v>
      </c>
      <c r="G1014">
        <v>202609</v>
      </c>
      <c r="H1014" t="s">
        <v>75</v>
      </c>
      <c r="I1014" t="s">
        <v>76</v>
      </c>
      <c r="J1014" t="s">
        <v>77</v>
      </c>
      <c r="K1014" t="s">
        <v>78</v>
      </c>
      <c r="L1014" t="s">
        <v>189</v>
      </c>
      <c r="M1014" t="s">
        <v>190</v>
      </c>
      <c r="N1014" t="s">
        <v>308</v>
      </c>
      <c r="O1014" t="s">
        <v>89</v>
      </c>
      <c r="P1014" t="str">
        <f>"4170072366                    "</f>
        <v xml:space="preserve">4170072366                    </v>
      </c>
      <c r="Q1014">
        <v>0</v>
      </c>
      <c r="R1014">
        <v>0</v>
      </c>
      <c r="S1014">
        <v>0</v>
      </c>
      <c r="T1014">
        <v>0</v>
      </c>
      <c r="U1014">
        <v>0</v>
      </c>
      <c r="V1014">
        <v>0</v>
      </c>
      <c r="W1014">
        <v>0</v>
      </c>
      <c r="X1014">
        <v>0</v>
      </c>
      <c r="Y1014">
        <v>0</v>
      </c>
      <c r="Z1014">
        <v>0</v>
      </c>
      <c r="AA1014">
        <v>0</v>
      </c>
      <c r="AB1014">
        <v>0</v>
      </c>
      <c r="AC1014">
        <v>0</v>
      </c>
      <c r="AD1014">
        <v>0</v>
      </c>
      <c r="AE1014">
        <v>0</v>
      </c>
      <c r="AF1014">
        <v>0</v>
      </c>
      <c r="AG1014">
        <v>0</v>
      </c>
      <c r="AH1014">
        <v>0</v>
      </c>
      <c r="AI1014">
        <v>0</v>
      </c>
      <c r="AJ1014">
        <v>0</v>
      </c>
      <c r="AK1014">
        <v>0</v>
      </c>
      <c r="AL1014">
        <v>0</v>
      </c>
      <c r="AM1014">
        <v>0</v>
      </c>
      <c r="AN1014">
        <v>0</v>
      </c>
      <c r="AO1014">
        <v>0</v>
      </c>
      <c r="AP1014">
        <v>0</v>
      </c>
      <c r="AQ1014">
        <v>25.52</v>
      </c>
      <c r="AR1014">
        <v>0</v>
      </c>
      <c r="AS1014">
        <v>0</v>
      </c>
      <c r="AT1014">
        <v>0</v>
      </c>
      <c r="AU1014">
        <v>0</v>
      </c>
      <c r="AV1014">
        <v>0</v>
      </c>
      <c r="AW1014">
        <v>17.41</v>
      </c>
      <c r="AX1014">
        <v>0</v>
      </c>
      <c r="AY1014">
        <v>0</v>
      </c>
      <c r="AZ1014">
        <v>0</v>
      </c>
      <c r="BA1014">
        <v>0</v>
      </c>
      <c r="BB1014">
        <v>0</v>
      </c>
      <c r="BC1014">
        <v>0</v>
      </c>
      <c r="BD1014">
        <v>0</v>
      </c>
      <c r="BE1014">
        <v>0</v>
      </c>
      <c r="BF1014">
        <v>0</v>
      </c>
      <c r="BG1014">
        <v>0</v>
      </c>
      <c r="BH1014">
        <v>1</v>
      </c>
      <c r="BI1014">
        <v>1</v>
      </c>
      <c r="BJ1014">
        <v>0.2</v>
      </c>
      <c r="BK1014">
        <v>1</v>
      </c>
      <c r="BL1014">
        <v>93.47</v>
      </c>
      <c r="BM1014">
        <v>14.02</v>
      </c>
      <c r="BN1014">
        <v>107.49</v>
      </c>
      <c r="BO1014">
        <v>107.49</v>
      </c>
      <c r="BQ1014" t="s">
        <v>309</v>
      </c>
      <c r="BR1014" t="s">
        <v>82</v>
      </c>
      <c r="BS1014" s="3">
        <v>46000</v>
      </c>
      <c r="BT1014" s="4">
        <v>0.64236111111111116</v>
      </c>
      <c r="BU1014" t="s">
        <v>1790</v>
      </c>
      <c r="BV1014" t="s">
        <v>84</v>
      </c>
      <c r="BY1014">
        <v>1200</v>
      </c>
      <c r="BZ1014" t="s">
        <v>30</v>
      </c>
      <c r="CC1014" t="s">
        <v>190</v>
      </c>
      <c r="CD1014">
        <v>3699</v>
      </c>
      <c r="CE1014" t="s">
        <v>134</v>
      </c>
      <c r="CF1014" s="3">
        <v>46000</v>
      </c>
      <c r="CI1014">
        <v>1</v>
      </c>
      <c r="CJ1014">
        <v>1</v>
      </c>
      <c r="CK1014">
        <v>21</v>
      </c>
      <c r="CL1014" t="s">
        <v>87</v>
      </c>
    </row>
    <row r="1015" spans="1:90" x14ac:dyDescent="0.3">
      <c r="A1015" t="s">
        <v>72</v>
      </c>
      <c r="B1015" t="s">
        <v>73</v>
      </c>
      <c r="C1015" t="s">
        <v>74</v>
      </c>
      <c r="E1015" t="str">
        <f>"080069755213"</f>
        <v>080069755213</v>
      </c>
      <c r="F1015" s="3">
        <v>45999</v>
      </c>
      <c r="G1015">
        <v>202609</v>
      </c>
      <c r="H1015" t="s">
        <v>75</v>
      </c>
      <c r="I1015" t="s">
        <v>76</v>
      </c>
      <c r="J1015" t="s">
        <v>77</v>
      </c>
      <c r="K1015" t="s">
        <v>78</v>
      </c>
      <c r="L1015" t="s">
        <v>141</v>
      </c>
      <c r="M1015" t="s">
        <v>142</v>
      </c>
      <c r="N1015" t="s">
        <v>143</v>
      </c>
      <c r="O1015" t="s">
        <v>89</v>
      </c>
      <c r="P1015" t="str">
        <f>"4170072504                    "</f>
        <v xml:space="preserve">4170072504                    </v>
      </c>
      <c r="Q1015">
        <v>0</v>
      </c>
      <c r="R1015">
        <v>0</v>
      </c>
      <c r="S1015">
        <v>0</v>
      </c>
      <c r="T1015">
        <v>0</v>
      </c>
      <c r="U1015">
        <v>0</v>
      </c>
      <c r="V1015">
        <v>0</v>
      </c>
      <c r="W1015">
        <v>0</v>
      </c>
      <c r="X1015">
        <v>0</v>
      </c>
      <c r="Y1015">
        <v>0</v>
      </c>
      <c r="Z1015">
        <v>0</v>
      </c>
      <c r="AA1015">
        <v>0</v>
      </c>
      <c r="AB1015">
        <v>0</v>
      </c>
      <c r="AC1015">
        <v>0</v>
      </c>
      <c r="AD1015">
        <v>0</v>
      </c>
      <c r="AE1015">
        <v>0</v>
      </c>
      <c r="AF1015">
        <v>0</v>
      </c>
      <c r="AG1015">
        <v>0</v>
      </c>
      <c r="AH1015">
        <v>0</v>
      </c>
      <c r="AI1015">
        <v>0</v>
      </c>
      <c r="AJ1015">
        <v>0</v>
      </c>
      <c r="AK1015">
        <v>0</v>
      </c>
      <c r="AL1015">
        <v>0</v>
      </c>
      <c r="AM1015">
        <v>0</v>
      </c>
      <c r="AN1015">
        <v>0</v>
      </c>
      <c r="AO1015">
        <v>0</v>
      </c>
      <c r="AP1015">
        <v>0</v>
      </c>
      <c r="AQ1015">
        <v>25.52</v>
      </c>
      <c r="AR1015">
        <v>0</v>
      </c>
      <c r="AS1015">
        <v>0</v>
      </c>
      <c r="AT1015">
        <v>0</v>
      </c>
      <c r="AU1015">
        <v>0</v>
      </c>
      <c r="AV1015">
        <v>0</v>
      </c>
      <c r="AW1015">
        <v>0</v>
      </c>
      <c r="AX1015">
        <v>0</v>
      </c>
      <c r="AY1015">
        <v>0</v>
      </c>
      <c r="AZ1015">
        <v>0</v>
      </c>
      <c r="BA1015">
        <v>0</v>
      </c>
      <c r="BB1015">
        <v>0</v>
      </c>
      <c r="BC1015">
        <v>0</v>
      </c>
      <c r="BD1015">
        <v>0</v>
      </c>
      <c r="BE1015">
        <v>0</v>
      </c>
      <c r="BF1015">
        <v>0</v>
      </c>
      <c r="BG1015">
        <v>0</v>
      </c>
      <c r="BH1015">
        <v>1</v>
      </c>
      <c r="BI1015">
        <v>1</v>
      </c>
      <c r="BJ1015">
        <v>0.2</v>
      </c>
      <c r="BK1015">
        <v>1</v>
      </c>
      <c r="BL1015">
        <v>76.06</v>
      </c>
      <c r="BM1015">
        <v>11.41</v>
      </c>
      <c r="BN1015">
        <v>87.47</v>
      </c>
      <c r="BO1015">
        <v>87.47</v>
      </c>
      <c r="BQ1015" t="s">
        <v>144</v>
      </c>
      <c r="BR1015" t="s">
        <v>82</v>
      </c>
      <c r="BS1015" s="3">
        <v>46000</v>
      </c>
      <c r="BT1015" s="4">
        <v>0.40625</v>
      </c>
      <c r="BU1015" t="s">
        <v>1682</v>
      </c>
      <c r="BV1015" t="s">
        <v>84</v>
      </c>
      <c r="BY1015">
        <v>1200</v>
      </c>
      <c r="CA1015" t="s">
        <v>1228</v>
      </c>
      <c r="CC1015" t="s">
        <v>142</v>
      </c>
      <c r="CD1015">
        <v>6001</v>
      </c>
      <c r="CE1015" t="s">
        <v>134</v>
      </c>
      <c r="CF1015" s="3">
        <v>46000</v>
      </c>
      <c r="CI1015">
        <v>1</v>
      </c>
      <c r="CJ1015">
        <v>1</v>
      </c>
      <c r="CK1015">
        <v>21</v>
      </c>
      <c r="CL1015" t="s">
        <v>87</v>
      </c>
    </row>
    <row r="1016" spans="1:90" x14ac:dyDescent="0.3">
      <c r="A1016" t="s">
        <v>72</v>
      </c>
      <c r="B1016" t="s">
        <v>73</v>
      </c>
      <c r="C1016" t="s">
        <v>74</v>
      </c>
      <c r="E1016" t="str">
        <f>"080069755252"</f>
        <v>080069755252</v>
      </c>
      <c r="F1016" s="3">
        <v>45999</v>
      </c>
      <c r="G1016">
        <v>202609</v>
      </c>
      <c r="H1016" t="s">
        <v>75</v>
      </c>
      <c r="I1016" t="s">
        <v>76</v>
      </c>
      <c r="J1016" t="s">
        <v>77</v>
      </c>
      <c r="K1016" t="s">
        <v>78</v>
      </c>
      <c r="L1016" t="s">
        <v>75</v>
      </c>
      <c r="M1016" t="s">
        <v>76</v>
      </c>
      <c r="N1016" t="s">
        <v>1791</v>
      </c>
      <c r="O1016" t="s">
        <v>89</v>
      </c>
      <c r="P1016" t="str">
        <f>"4170072423                    "</f>
        <v xml:space="preserve">4170072423                    </v>
      </c>
      <c r="Q1016">
        <v>0</v>
      </c>
      <c r="R1016">
        <v>0</v>
      </c>
      <c r="S1016">
        <v>0</v>
      </c>
      <c r="T1016">
        <v>0</v>
      </c>
      <c r="U1016">
        <v>0</v>
      </c>
      <c r="V1016">
        <v>0</v>
      </c>
      <c r="W1016">
        <v>0</v>
      </c>
      <c r="X1016">
        <v>0</v>
      </c>
      <c r="Y1016">
        <v>0</v>
      </c>
      <c r="Z1016">
        <v>0</v>
      </c>
      <c r="AA1016">
        <v>0</v>
      </c>
      <c r="AB1016">
        <v>0</v>
      </c>
      <c r="AC1016">
        <v>0</v>
      </c>
      <c r="AD1016">
        <v>0</v>
      </c>
      <c r="AE1016">
        <v>0</v>
      </c>
      <c r="AF1016">
        <v>0</v>
      </c>
      <c r="AG1016">
        <v>0</v>
      </c>
      <c r="AH1016">
        <v>0</v>
      </c>
      <c r="AI1016">
        <v>0</v>
      </c>
      <c r="AJ1016">
        <v>0</v>
      </c>
      <c r="AK1016">
        <v>0</v>
      </c>
      <c r="AL1016">
        <v>0</v>
      </c>
      <c r="AM1016">
        <v>0</v>
      </c>
      <c r="AN1016">
        <v>0</v>
      </c>
      <c r="AO1016">
        <v>0</v>
      </c>
      <c r="AP1016">
        <v>0</v>
      </c>
      <c r="AQ1016">
        <v>19.940000000000001</v>
      </c>
      <c r="AR1016">
        <v>0</v>
      </c>
      <c r="AS1016">
        <v>0</v>
      </c>
      <c r="AT1016">
        <v>0</v>
      </c>
      <c r="AU1016">
        <v>0</v>
      </c>
      <c r="AV1016">
        <v>0</v>
      </c>
      <c r="AW1016">
        <v>0</v>
      </c>
      <c r="AX1016">
        <v>0</v>
      </c>
      <c r="AY1016">
        <v>0</v>
      </c>
      <c r="AZ1016">
        <v>0</v>
      </c>
      <c r="BA1016">
        <v>0</v>
      </c>
      <c r="BB1016">
        <v>0</v>
      </c>
      <c r="BC1016">
        <v>0</v>
      </c>
      <c r="BD1016">
        <v>0</v>
      </c>
      <c r="BE1016">
        <v>0</v>
      </c>
      <c r="BF1016">
        <v>0</v>
      </c>
      <c r="BG1016">
        <v>0</v>
      </c>
      <c r="BH1016">
        <v>1</v>
      </c>
      <c r="BI1016">
        <v>1</v>
      </c>
      <c r="BJ1016">
        <v>0.2</v>
      </c>
      <c r="BK1016">
        <v>1</v>
      </c>
      <c r="BL1016">
        <v>59.42</v>
      </c>
      <c r="BM1016">
        <v>8.91</v>
      </c>
      <c r="BN1016">
        <v>68.33</v>
      </c>
      <c r="BO1016">
        <v>68.33</v>
      </c>
      <c r="BQ1016" t="s">
        <v>1792</v>
      </c>
      <c r="BR1016" t="s">
        <v>82</v>
      </c>
      <c r="BS1016" s="3">
        <v>46000</v>
      </c>
      <c r="BT1016" s="4">
        <v>0.40625</v>
      </c>
      <c r="BU1016" t="s">
        <v>1793</v>
      </c>
      <c r="BV1016" t="s">
        <v>84</v>
      </c>
      <c r="BY1016">
        <v>1200</v>
      </c>
      <c r="CA1016" t="s">
        <v>92</v>
      </c>
      <c r="CC1016" t="s">
        <v>76</v>
      </c>
      <c r="CD1016">
        <v>1619</v>
      </c>
      <c r="CE1016" t="s">
        <v>134</v>
      </c>
      <c r="CF1016" s="3">
        <v>46001</v>
      </c>
      <c r="CI1016">
        <v>1</v>
      </c>
      <c r="CJ1016">
        <v>1</v>
      </c>
      <c r="CK1016">
        <v>22</v>
      </c>
      <c r="CL1016" t="s">
        <v>87</v>
      </c>
    </row>
    <row r="1017" spans="1:90" x14ac:dyDescent="0.3">
      <c r="A1017" t="s">
        <v>72</v>
      </c>
      <c r="B1017" t="s">
        <v>73</v>
      </c>
      <c r="C1017" t="s">
        <v>74</v>
      </c>
      <c r="E1017" t="str">
        <f>"080069755327"</f>
        <v>080069755327</v>
      </c>
      <c r="F1017" s="3">
        <v>45999</v>
      </c>
      <c r="G1017">
        <v>202609</v>
      </c>
      <c r="H1017" t="s">
        <v>75</v>
      </c>
      <c r="I1017" t="s">
        <v>76</v>
      </c>
      <c r="J1017" t="s">
        <v>77</v>
      </c>
      <c r="K1017" t="s">
        <v>78</v>
      </c>
      <c r="L1017" t="s">
        <v>1388</v>
      </c>
      <c r="M1017" t="s">
        <v>1389</v>
      </c>
      <c r="N1017" t="s">
        <v>1794</v>
      </c>
      <c r="O1017" t="s">
        <v>80</v>
      </c>
      <c r="P1017" t="str">
        <f>"4170072390                    "</f>
        <v xml:space="preserve">4170072390                    </v>
      </c>
      <c r="Q1017">
        <v>0</v>
      </c>
      <c r="R1017">
        <v>0</v>
      </c>
      <c r="S1017">
        <v>0</v>
      </c>
      <c r="T1017">
        <v>0</v>
      </c>
      <c r="U1017">
        <v>0</v>
      </c>
      <c r="V1017">
        <v>0</v>
      </c>
      <c r="W1017">
        <v>0</v>
      </c>
      <c r="X1017">
        <v>0</v>
      </c>
      <c r="Y1017">
        <v>0</v>
      </c>
      <c r="Z1017">
        <v>0</v>
      </c>
      <c r="AA1017">
        <v>0</v>
      </c>
      <c r="AB1017">
        <v>0</v>
      </c>
      <c r="AC1017">
        <v>0</v>
      </c>
      <c r="AD1017">
        <v>0</v>
      </c>
      <c r="AE1017">
        <v>0</v>
      </c>
      <c r="AF1017">
        <v>0</v>
      </c>
      <c r="AG1017">
        <v>0</v>
      </c>
      <c r="AH1017">
        <v>0</v>
      </c>
      <c r="AI1017">
        <v>0</v>
      </c>
      <c r="AJ1017">
        <v>0</v>
      </c>
      <c r="AK1017">
        <v>0</v>
      </c>
      <c r="AL1017">
        <v>0</v>
      </c>
      <c r="AM1017">
        <v>0</v>
      </c>
      <c r="AN1017">
        <v>0</v>
      </c>
      <c r="AO1017">
        <v>0</v>
      </c>
      <c r="AP1017">
        <v>0</v>
      </c>
      <c r="AQ1017">
        <v>38.090000000000003</v>
      </c>
      <c r="AR1017">
        <v>0</v>
      </c>
      <c r="AS1017">
        <v>0</v>
      </c>
      <c r="AT1017">
        <v>0</v>
      </c>
      <c r="AU1017">
        <v>0</v>
      </c>
      <c r="AV1017">
        <v>0</v>
      </c>
      <c r="AW1017">
        <v>0</v>
      </c>
      <c r="AX1017">
        <v>0</v>
      </c>
      <c r="AY1017">
        <v>0</v>
      </c>
      <c r="AZ1017">
        <v>0</v>
      </c>
      <c r="BA1017">
        <v>0</v>
      </c>
      <c r="BB1017">
        <v>0</v>
      </c>
      <c r="BC1017">
        <v>0</v>
      </c>
      <c r="BD1017">
        <v>0</v>
      </c>
      <c r="BE1017">
        <v>0</v>
      </c>
      <c r="BF1017">
        <v>0</v>
      </c>
      <c r="BG1017">
        <v>0</v>
      </c>
      <c r="BH1017">
        <v>1</v>
      </c>
      <c r="BI1017">
        <v>2</v>
      </c>
      <c r="BJ1017">
        <v>2.2000000000000002</v>
      </c>
      <c r="BK1017">
        <v>3</v>
      </c>
      <c r="BL1017">
        <v>119.61</v>
      </c>
      <c r="BM1017">
        <v>17.940000000000001</v>
      </c>
      <c r="BN1017">
        <v>137.55000000000001</v>
      </c>
      <c r="BO1017">
        <v>137.55000000000001</v>
      </c>
      <c r="BQ1017" t="s">
        <v>1795</v>
      </c>
      <c r="BR1017" t="s">
        <v>82</v>
      </c>
      <c r="BS1017" s="3">
        <v>46001</v>
      </c>
      <c r="BT1017" s="4">
        <v>0.4284722222222222</v>
      </c>
      <c r="BU1017" t="s">
        <v>1796</v>
      </c>
      <c r="BV1017" t="s">
        <v>87</v>
      </c>
      <c r="BW1017" t="s">
        <v>174</v>
      </c>
      <c r="BX1017" t="s">
        <v>1797</v>
      </c>
      <c r="BY1017">
        <v>10976</v>
      </c>
      <c r="CA1017" t="s">
        <v>1798</v>
      </c>
      <c r="CC1017" t="s">
        <v>1389</v>
      </c>
      <c r="CD1017">
        <v>2170</v>
      </c>
      <c r="CE1017" t="s">
        <v>93</v>
      </c>
      <c r="CF1017" s="3">
        <v>46001</v>
      </c>
      <c r="CI1017">
        <v>1</v>
      </c>
      <c r="CJ1017">
        <v>2</v>
      </c>
      <c r="CK1017">
        <v>42</v>
      </c>
      <c r="CL1017" t="s">
        <v>87</v>
      </c>
    </row>
    <row r="1018" spans="1:90" x14ac:dyDescent="0.3">
      <c r="A1018" t="s">
        <v>72</v>
      </c>
      <c r="B1018" t="s">
        <v>73</v>
      </c>
      <c r="C1018" t="s">
        <v>74</v>
      </c>
      <c r="E1018" t="str">
        <f>"080069755379"</f>
        <v>080069755379</v>
      </c>
      <c r="F1018" s="3">
        <v>45999</v>
      </c>
      <c r="G1018">
        <v>202609</v>
      </c>
      <c r="H1018" t="s">
        <v>75</v>
      </c>
      <c r="I1018" t="s">
        <v>76</v>
      </c>
      <c r="J1018" t="s">
        <v>77</v>
      </c>
      <c r="K1018" t="s">
        <v>78</v>
      </c>
      <c r="L1018" t="s">
        <v>94</v>
      </c>
      <c r="M1018" t="s">
        <v>95</v>
      </c>
      <c r="N1018" t="s">
        <v>936</v>
      </c>
      <c r="O1018" t="s">
        <v>89</v>
      </c>
      <c r="P1018" t="str">
        <f>"4170072470                    "</f>
        <v xml:space="preserve">4170072470                    </v>
      </c>
      <c r="Q1018">
        <v>0</v>
      </c>
      <c r="R1018">
        <v>0</v>
      </c>
      <c r="S1018">
        <v>0</v>
      </c>
      <c r="T1018">
        <v>0</v>
      </c>
      <c r="U1018">
        <v>0</v>
      </c>
      <c r="V1018">
        <v>0</v>
      </c>
      <c r="W1018">
        <v>0</v>
      </c>
      <c r="X1018">
        <v>0</v>
      </c>
      <c r="Y1018">
        <v>0</v>
      </c>
      <c r="Z1018">
        <v>0</v>
      </c>
      <c r="AA1018">
        <v>0</v>
      </c>
      <c r="AB1018">
        <v>0</v>
      </c>
      <c r="AC1018">
        <v>0</v>
      </c>
      <c r="AD1018">
        <v>0</v>
      </c>
      <c r="AE1018">
        <v>0</v>
      </c>
      <c r="AF1018">
        <v>0</v>
      </c>
      <c r="AG1018">
        <v>0</v>
      </c>
      <c r="AH1018">
        <v>0</v>
      </c>
      <c r="AI1018">
        <v>0</v>
      </c>
      <c r="AJ1018">
        <v>0</v>
      </c>
      <c r="AK1018">
        <v>0</v>
      </c>
      <c r="AL1018">
        <v>0</v>
      </c>
      <c r="AM1018">
        <v>0</v>
      </c>
      <c r="AN1018">
        <v>0</v>
      </c>
      <c r="AO1018">
        <v>0</v>
      </c>
      <c r="AP1018">
        <v>0</v>
      </c>
      <c r="AQ1018">
        <v>165.84</v>
      </c>
      <c r="AR1018">
        <v>0</v>
      </c>
      <c r="AS1018">
        <v>0</v>
      </c>
      <c r="AT1018">
        <v>0</v>
      </c>
      <c r="AU1018">
        <v>0</v>
      </c>
      <c r="AV1018">
        <v>0</v>
      </c>
      <c r="AW1018">
        <v>0</v>
      </c>
      <c r="AX1018">
        <v>0</v>
      </c>
      <c r="AY1018">
        <v>0</v>
      </c>
      <c r="AZ1018">
        <v>0</v>
      </c>
      <c r="BA1018">
        <v>0</v>
      </c>
      <c r="BB1018">
        <v>0</v>
      </c>
      <c r="BC1018">
        <v>0</v>
      </c>
      <c r="BD1018">
        <v>0</v>
      </c>
      <c r="BE1018">
        <v>0</v>
      </c>
      <c r="BF1018">
        <v>0</v>
      </c>
      <c r="BG1018">
        <v>0</v>
      </c>
      <c r="BH1018">
        <v>1</v>
      </c>
      <c r="BI1018">
        <v>13</v>
      </c>
      <c r="BJ1018">
        <v>3.4</v>
      </c>
      <c r="BK1018">
        <v>13</v>
      </c>
      <c r="BL1018">
        <v>494.24</v>
      </c>
      <c r="BM1018">
        <v>74.14</v>
      </c>
      <c r="BN1018">
        <v>568.38</v>
      </c>
      <c r="BO1018">
        <v>568.38</v>
      </c>
      <c r="BQ1018" t="s">
        <v>937</v>
      </c>
      <c r="BR1018" t="s">
        <v>82</v>
      </c>
      <c r="BS1018" s="3">
        <v>46000</v>
      </c>
      <c r="BT1018" s="4">
        <v>0.40277777777777779</v>
      </c>
      <c r="BU1018" t="s">
        <v>1695</v>
      </c>
      <c r="BV1018" t="s">
        <v>84</v>
      </c>
      <c r="BY1018">
        <v>16965</v>
      </c>
      <c r="CA1018" t="s">
        <v>929</v>
      </c>
      <c r="CC1018" t="s">
        <v>95</v>
      </c>
      <c r="CD1018">
        <v>3610</v>
      </c>
      <c r="CE1018" t="s">
        <v>86</v>
      </c>
      <c r="CF1018" s="3">
        <v>46000</v>
      </c>
      <c r="CI1018">
        <v>1</v>
      </c>
      <c r="CJ1018">
        <v>1</v>
      </c>
      <c r="CK1018">
        <v>21</v>
      </c>
      <c r="CL1018" t="s">
        <v>87</v>
      </c>
    </row>
    <row r="1019" spans="1:90" x14ac:dyDescent="0.3">
      <c r="A1019" t="s">
        <v>72</v>
      </c>
      <c r="B1019" t="s">
        <v>73</v>
      </c>
      <c r="C1019" t="s">
        <v>74</v>
      </c>
      <c r="E1019" t="str">
        <f>"080069755413"</f>
        <v>080069755413</v>
      </c>
      <c r="F1019" s="3">
        <v>45999</v>
      </c>
      <c r="G1019">
        <v>202609</v>
      </c>
      <c r="H1019" t="s">
        <v>75</v>
      </c>
      <c r="I1019" t="s">
        <v>76</v>
      </c>
      <c r="J1019" t="s">
        <v>77</v>
      </c>
      <c r="K1019" t="s">
        <v>78</v>
      </c>
      <c r="L1019" t="s">
        <v>156</v>
      </c>
      <c r="M1019" t="s">
        <v>157</v>
      </c>
      <c r="N1019" t="s">
        <v>880</v>
      </c>
      <c r="O1019" t="s">
        <v>89</v>
      </c>
      <c r="P1019" t="str">
        <f>"4170071379                    "</f>
        <v xml:space="preserve">4170071379                    </v>
      </c>
      <c r="Q1019">
        <v>0</v>
      </c>
      <c r="R1019">
        <v>0</v>
      </c>
      <c r="S1019">
        <v>0</v>
      </c>
      <c r="T1019">
        <v>0</v>
      </c>
      <c r="U1019">
        <v>0</v>
      </c>
      <c r="V1019">
        <v>0</v>
      </c>
      <c r="W1019">
        <v>0</v>
      </c>
      <c r="X1019">
        <v>0</v>
      </c>
      <c r="Y1019">
        <v>0</v>
      </c>
      <c r="Z1019">
        <v>0</v>
      </c>
      <c r="AA1019">
        <v>0</v>
      </c>
      <c r="AB1019">
        <v>0</v>
      </c>
      <c r="AC1019">
        <v>0</v>
      </c>
      <c r="AD1019">
        <v>0</v>
      </c>
      <c r="AE1019">
        <v>0</v>
      </c>
      <c r="AF1019">
        <v>0</v>
      </c>
      <c r="AG1019">
        <v>0</v>
      </c>
      <c r="AH1019">
        <v>0</v>
      </c>
      <c r="AI1019">
        <v>0</v>
      </c>
      <c r="AJ1019">
        <v>0</v>
      </c>
      <c r="AK1019">
        <v>0</v>
      </c>
      <c r="AL1019">
        <v>0</v>
      </c>
      <c r="AM1019">
        <v>0</v>
      </c>
      <c r="AN1019">
        <v>0</v>
      </c>
      <c r="AO1019">
        <v>0</v>
      </c>
      <c r="AP1019">
        <v>0</v>
      </c>
      <c r="AQ1019">
        <v>25.52</v>
      </c>
      <c r="AR1019">
        <v>0</v>
      </c>
      <c r="AS1019">
        <v>0</v>
      </c>
      <c r="AT1019">
        <v>0</v>
      </c>
      <c r="AU1019">
        <v>0</v>
      </c>
      <c r="AV1019">
        <v>0</v>
      </c>
      <c r="AW1019">
        <v>0</v>
      </c>
      <c r="AX1019">
        <v>0</v>
      </c>
      <c r="AY1019">
        <v>0</v>
      </c>
      <c r="AZ1019">
        <v>0</v>
      </c>
      <c r="BA1019">
        <v>0</v>
      </c>
      <c r="BB1019">
        <v>0</v>
      </c>
      <c r="BC1019">
        <v>0</v>
      </c>
      <c r="BD1019">
        <v>0</v>
      </c>
      <c r="BE1019">
        <v>0</v>
      </c>
      <c r="BF1019">
        <v>0</v>
      </c>
      <c r="BG1019">
        <v>0</v>
      </c>
      <c r="BH1019">
        <v>1</v>
      </c>
      <c r="BI1019">
        <v>2</v>
      </c>
      <c r="BJ1019">
        <v>1.9</v>
      </c>
      <c r="BK1019">
        <v>2</v>
      </c>
      <c r="BL1019">
        <v>76.06</v>
      </c>
      <c r="BM1019">
        <v>11.41</v>
      </c>
      <c r="BN1019">
        <v>87.47</v>
      </c>
      <c r="BO1019">
        <v>87.47</v>
      </c>
      <c r="BQ1019" t="s">
        <v>881</v>
      </c>
      <c r="BR1019" t="s">
        <v>82</v>
      </c>
      <c r="BS1019" s="3">
        <v>46000</v>
      </c>
      <c r="BT1019" s="4">
        <v>0.62152777777777779</v>
      </c>
      <c r="BU1019" t="s">
        <v>1578</v>
      </c>
      <c r="BV1019" t="s">
        <v>87</v>
      </c>
      <c r="BW1019" t="s">
        <v>153</v>
      </c>
      <c r="BX1019" t="s">
        <v>154</v>
      </c>
      <c r="BY1019">
        <v>9600</v>
      </c>
      <c r="CA1019" t="s">
        <v>668</v>
      </c>
      <c r="CC1019" t="s">
        <v>157</v>
      </c>
      <c r="CD1019">
        <v>7550</v>
      </c>
      <c r="CE1019" t="s">
        <v>86</v>
      </c>
      <c r="CF1019" s="3">
        <v>46001</v>
      </c>
      <c r="CI1019">
        <v>1</v>
      </c>
      <c r="CJ1019">
        <v>1</v>
      </c>
      <c r="CK1019">
        <v>21</v>
      </c>
      <c r="CL1019" t="s">
        <v>87</v>
      </c>
    </row>
    <row r="1020" spans="1:90" x14ac:dyDescent="0.3">
      <c r="A1020" t="s">
        <v>72</v>
      </c>
      <c r="B1020" t="s">
        <v>73</v>
      </c>
      <c r="C1020" t="s">
        <v>74</v>
      </c>
      <c r="E1020" t="str">
        <f>"080069755467"</f>
        <v>080069755467</v>
      </c>
      <c r="F1020" s="3">
        <v>45999</v>
      </c>
      <c r="G1020">
        <v>202609</v>
      </c>
      <c r="H1020" t="s">
        <v>75</v>
      </c>
      <c r="I1020" t="s">
        <v>76</v>
      </c>
      <c r="J1020" t="s">
        <v>77</v>
      </c>
      <c r="K1020" t="s">
        <v>78</v>
      </c>
      <c r="L1020" t="s">
        <v>75</v>
      </c>
      <c r="M1020" t="s">
        <v>76</v>
      </c>
      <c r="N1020" t="s">
        <v>88</v>
      </c>
      <c r="O1020" t="s">
        <v>89</v>
      </c>
      <c r="P1020" t="str">
        <f>"4170072434                    "</f>
        <v xml:space="preserve">4170072434                    </v>
      </c>
      <c r="Q1020">
        <v>0</v>
      </c>
      <c r="R1020">
        <v>0</v>
      </c>
      <c r="S1020">
        <v>0</v>
      </c>
      <c r="T1020">
        <v>0</v>
      </c>
      <c r="U1020">
        <v>0</v>
      </c>
      <c r="V1020">
        <v>0</v>
      </c>
      <c r="W1020">
        <v>0</v>
      </c>
      <c r="X1020">
        <v>0</v>
      </c>
      <c r="Y1020">
        <v>0</v>
      </c>
      <c r="Z1020">
        <v>0</v>
      </c>
      <c r="AA1020">
        <v>0</v>
      </c>
      <c r="AB1020">
        <v>0</v>
      </c>
      <c r="AC1020">
        <v>0</v>
      </c>
      <c r="AD1020">
        <v>0</v>
      </c>
      <c r="AE1020">
        <v>0</v>
      </c>
      <c r="AF1020">
        <v>0</v>
      </c>
      <c r="AG1020">
        <v>0</v>
      </c>
      <c r="AH1020">
        <v>0</v>
      </c>
      <c r="AI1020">
        <v>0</v>
      </c>
      <c r="AJ1020">
        <v>0</v>
      </c>
      <c r="AK1020">
        <v>0</v>
      </c>
      <c r="AL1020">
        <v>0</v>
      </c>
      <c r="AM1020">
        <v>0</v>
      </c>
      <c r="AN1020">
        <v>0</v>
      </c>
      <c r="AO1020">
        <v>0</v>
      </c>
      <c r="AP1020">
        <v>0</v>
      </c>
      <c r="AQ1020">
        <v>19.940000000000001</v>
      </c>
      <c r="AR1020">
        <v>0</v>
      </c>
      <c r="AS1020">
        <v>0</v>
      </c>
      <c r="AT1020">
        <v>0</v>
      </c>
      <c r="AU1020">
        <v>0</v>
      </c>
      <c r="AV1020">
        <v>0</v>
      </c>
      <c r="AW1020">
        <v>0</v>
      </c>
      <c r="AX1020">
        <v>0</v>
      </c>
      <c r="AY1020">
        <v>0</v>
      </c>
      <c r="AZ1020">
        <v>0</v>
      </c>
      <c r="BA1020">
        <v>0</v>
      </c>
      <c r="BB1020">
        <v>0</v>
      </c>
      <c r="BC1020">
        <v>0</v>
      </c>
      <c r="BD1020">
        <v>0</v>
      </c>
      <c r="BE1020">
        <v>0</v>
      </c>
      <c r="BF1020">
        <v>0</v>
      </c>
      <c r="BG1020">
        <v>0</v>
      </c>
      <c r="BH1020">
        <v>1</v>
      </c>
      <c r="BI1020">
        <v>2</v>
      </c>
      <c r="BJ1020">
        <v>1.8</v>
      </c>
      <c r="BK1020">
        <v>2</v>
      </c>
      <c r="BL1020">
        <v>59.42</v>
      </c>
      <c r="BM1020">
        <v>8.91</v>
      </c>
      <c r="BN1020">
        <v>68.33</v>
      </c>
      <c r="BO1020">
        <v>68.33</v>
      </c>
      <c r="BQ1020" t="s">
        <v>90</v>
      </c>
      <c r="BR1020" t="s">
        <v>82</v>
      </c>
      <c r="BS1020" s="3">
        <v>46000</v>
      </c>
      <c r="BT1020" s="4">
        <v>0.2986111111111111</v>
      </c>
      <c r="BU1020" t="s">
        <v>1288</v>
      </c>
      <c r="BV1020" t="s">
        <v>84</v>
      </c>
      <c r="BY1020">
        <v>8816</v>
      </c>
      <c r="CA1020" t="s">
        <v>92</v>
      </c>
      <c r="CC1020" t="s">
        <v>76</v>
      </c>
      <c r="CD1020">
        <v>1600</v>
      </c>
      <c r="CE1020" t="s">
        <v>86</v>
      </c>
      <c r="CF1020" s="3">
        <v>46001</v>
      </c>
      <c r="CI1020">
        <v>1</v>
      </c>
      <c r="CJ1020">
        <v>1</v>
      </c>
      <c r="CK1020">
        <v>22</v>
      </c>
      <c r="CL1020" t="s">
        <v>87</v>
      </c>
    </row>
    <row r="1021" spans="1:90" x14ac:dyDescent="0.3">
      <c r="A1021" t="s">
        <v>72</v>
      </c>
      <c r="B1021" t="s">
        <v>73</v>
      </c>
      <c r="C1021" t="s">
        <v>74</v>
      </c>
      <c r="E1021" t="str">
        <f>"080069755535"</f>
        <v>080069755535</v>
      </c>
      <c r="F1021" s="3">
        <v>45999</v>
      </c>
      <c r="G1021">
        <v>202609</v>
      </c>
      <c r="H1021" t="s">
        <v>75</v>
      </c>
      <c r="I1021" t="s">
        <v>76</v>
      </c>
      <c r="J1021" t="s">
        <v>77</v>
      </c>
      <c r="K1021" t="s">
        <v>78</v>
      </c>
      <c r="L1021" t="s">
        <v>302</v>
      </c>
      <c r="M1021" t="s">
        <v>303</v>
      </c>
      <c r="N1021" t="s">
        <v>795</v>
      </c>
      <c r="O1021" t="s">
        <v>89</v>
      </c>
      <c r="P1021" t="str">
        <f>"4170072472                    "</f>
        <v xml:space="preserve">4170072472                    </v>
      </c>
      <c r="Q1021">
        <v>0</v>
      </c>
      <c r="R1021">
        <v>0</v>
      </c>
      <c r="S1021">
        <v>0</v>
      </c>
      <c r="T1021">
        <v>0</v>
      </c>
      <c r="U1021">
        <v>0</v>
      </c>
      <c r="V1021">
        <v>0</v>
      </c>
      <c r="W1021">
        <v>0</v>
      </c>
      <c r="X1021">
        <v>0</v>
      </c>
      <c r="Y1021">
        <v>0</v>
      </c>
      <c r="Z1021">
        <v>0</v>
      </c>
      <c r="AA1021">
        <v>0</v>
      </c>
      <c r="AB1021">
        <v>0</v>
      </c>
      <c r="AC1021">
        <v>0</v>
      </c>
      <c r="AD1021">
        <v>0</v>
      </c>
      <c r="AE1021">
        <v>0</v>
      </c>
      <c r="AF1021">
        <v>0</v>
      </c>
      <c r="AG1021">
        <v>0</v>
      </c>
      <c r="AH1021">
        <v>0</v>
      </c>
      <c r="AI1021">
        <v>0</v>
      </c>
      <c r="AJ1021">
        <v>0</v>
      </c>
      <c r="AK1021">
        <v>0</v>
      </c>
      <c r="AL1021">
        <v>0</v>
      </c>
      <c r="AM1021">
        <v>0</v>
      </c>
      <c r="AN1021">
        <v>0</v>
      </c>
      <c r="AO1021">
        <v>0</v>
      </c>
      <c r="AP1021">
        <v>0</v>
      </c>
      <c r="AQ1021">
        <v>38.28</v>
      </c>
      <c r="AR1021">
        <v>0</v>
      </c>
      <c r="AS1021">
        <v>0</v>
      </c>
      <c r="AT1021">
        <v>0</v>
      </c>
      <c r="AU1021">
        <v>0</v>
      </c>
      <c r="AV1021">
        <v>0</v>
      </c>
      <c r="AW1021">
        <v>0</v>
      </c>
      <c r="AX1021">
        <v>0</v>
      </c>
      <c r="AY1021">
        <v>0</v>
      </c>
      <c r="AZ1021">
        <v>0</v>
      </c>
      <c r="BA1021">
        <v>0</v>
      </c>
      <c r="BB1021">
        <v>0</v>
      </c>
      <c r="BC1021">
        <v>0</v>
      </c>
      <c r="BD1021">
        <v>0</v>
      </c>
      <c r="BE1021">
        <v>0</v>
      </c>
      <c r="BF1021">
        <v>0</v>
      </c>
      <c r="BG1021">
        <v>0</v>
      </c>
      <c r="BH1021">
        <v>1</v>
      </c>
      <c r="BI1021">
        <v>3</v>
      </c>
      <c r="BJ1021">
        <v>0.7</v>
      </c>
      <c r="BK1021">
        <v>3</v>
      </c>
      <c r="BL1021">
        <v>114.08</v>
      </c>
      <c r="BM1021">
        <v>17.11</v>
      </c>
      <c r="BN1021">
        <v>131.19</v>
      </c>
      <c r="BO1021">
        <v>131.19</v>
      </c>
      <c r="BQ1021" t="s">
        <v>796</v>
      </c>
      <c r="BR1021" t="s">
        <v>82</v>
      </c>
      <c r="BS1021" s="3">
        <v>46000</v>
      </c>
      <c r="BT1021" s="4">
        <v>0.37569444444444444</v>
      </c>
      <c r="BU1021" t="s">
        <v>1711</v>
      </c>
      <c r="BV1021" t="s">
        <v>84</v>
      </c>
      <c r="BY1021">
        <v>3306</v>
      </c>
      <c r="CA1021">
        <v>9107126013089</v>
      </c>
      <c r="CC1021" t="s">
        <v>303</v>
      </c>
      <c r="CD1021" s="5" t="s">
        <v>664</v>
      </c>
      <c r="CE1021" t="s">
        <v>86</v>
      </c>
      <c r="CF1021" s="3">
        <v>46000</v>
      </c>
      <c r="CI1021">
        <v>1</v>
      </c>
      <c r="CJ1021">
        <v>1</v>
      </c>
      <c r="CK1021">
        <v>21</v>
      </c>
      <c r="CL1021" t="s">
        <v>87</v>
      </c>
    </row>
    <row r="1022" spans="1:90" x14ac:dyDescent="0.3">
      <c r="A1022" t="s">
        <v>72</v>
      </c>
      <c r="B1022" t="s">
        <v>73</v>
      </c>
      <c r="C1022" t="s">
        <v>74</v>
      </c>
      <c r="E1022" t="str">
        <f>"080069755587"</f>
        <v>080069755587</v>
      </c>
      <c r="F1022" s="3">
        <v>45999</v>
      </c>
      <c r="G1022">
        <v>202609</v>
      </c>
      <c r="H1022" t="s">
        <v>75</v>
      </c>
      <c r="I1022" t="s">
        <v>76</v>
      </c>
      <c r="J1022" t="s">
        <v>77</v>
      </c>
      <c r="K1022" t="s">
        <v>78</v>
      </c>
      <c r="L1022" t="s">
        <v>109</v>
      </c>
      <c r="M1022" t="s">
        <v>110</v>
      </c>
      <c r="N1022" t="s">
        <v>1799</v>
      </c>
      <c r="O1022" t="s">
        <v>89</v>
      </c>
      <c r="P1022" t="str">
        <f>"4170072444                    "</f>
        <v xml:space="preserve">4170072444                    </v>
      </c>
      <c r="Q1022">
        <v>0</v>
      </c>
      <c r="R1022">
        <v>0</v>
      </c>
      <c r="S1022">
        <v>0</v>
      </c>
      <c r="T1022">
        <v>0</v>
      </c>
      <c r="U1022">
        <v>0</v>
      </c>
      <c r="V1022">
        <v>0</v>
      </c>
      <c r="W1022">
        <v>0</v>
      </c>
      <c r="X1022">
        <v>0</v>
      </c>
      <c r="Y1022">
        <v>0</v>
      </c>
      <c r="Z1022">
        <v>0</v>
      </c>
      <c r="AA1022">
        <v>0</v>
      </c>
      <c r="AB1022">
        <v>0</v>
      </c>
      <c r="AC1022">
        <v>0</v>
      </c>
      <c r="AD1022">
        <v>0</v>
      </c>
      <c r="AE1022">
        <v>0</v>
      </c>
      <c r="AF1022">
        <v>0</v>
      </c>
      <c r="AG1022">
        <v>0</v>
      </c>
      <c r="AH1022">
        <v>0</v>
      </c>
      <c r="AI1022">
        <v>0</v>
      </c>
      <c r="AJ1022">
        <v>0</v>
      </c>
      <c r="AK1022">
        <v>0</v>
      </c>
      <c r="AL1022">
        <v>0</v>
      </c>
      <c r="AM1022">
        <v>0</v>
      </c>
      <c r="AN1022">
        <v>0</v>
      </c>
      <c r="AO1022">
        <v>0</v>
      </c>
      <c r="AP1022">
        <v>0</v>
      </c>
      <c r="AQ1022">
        <v>35.9</v>
      </c>
      <c r="AR1022">
        <v>0</v>
      </c>
      <c r="AS1022">
        <v>0</v>
      </c>
      <c r="AT1022">
        <v>0</v>
      </c>
      <c r="AU1022">
        <v>0</v>
      </c>
      <c r="AV1022">
        <v>0</v>
      </c>
      <c r="AW1022">
        <v>0</v>
      </c>
      <c r="AX1022">
        <v>0</v>
      </c>
      <c r="AY1022">
        <v>0</v>
      </c>
      <c r="AZ1022">
        <v>0</v>
      </c>
      <c r="BA1022">
        <v>0</v>
      </c>
      <c r="BB1022">
        <v>0</v>
      </c>
      <c r="BC1022">
        <v>0</v>
      </c>
      <c r="BD1022">
        <v>0</v>
      </c>
      <c r="BE1022">
        <v>0</v>
      </c>
      <c r="BF1022">
        <v>0</v>
      </c>
      <c r="BG1022">
        <v>0</v>
      </c>
      <c r="BH1022">
        <v>1</v>
      </c>
      <c r="BI1022">
        <v>2</v>
      </c>
      <c r="BJ1022">
        <v>0.9</v>
      </c>
      <c r="BK1022">
        <v>2</v>
      </c>
      <c r="BL1022">
        <v>106.98</v>
      </c>
      <c r="BM1022">
        <v>16.05</v>
      </c>
      <c r="BN1022">
        <v>123.03</v>
      </c>
      <c r="BO1022">
        <v>123.03</v>
      </c>
      <c r="BQ1022" t="s">
        <v>1800</v>
      </c>
      <c r="BR1022" t="s">
        <v>82</v>
      </c>
      <c r="BS1022" s="3">
        <v>46000</v>
      </c>
      <c r="BT1022" s="4">
        <v>0.4201388888888889</v>
      </c>
      <c r="BU1022" t="s">
        <v>1801</v>
      </c>
      <c r="BV1022" t="s">
        <v>84</v>
      </c>
      <c r="BY1022">
        <v>4275</v>
      </c>
      <c r="CA1022" t="s">
        <v>673</v>
      </c>
      <c r="CC1022" t="s">
        <v>110</v>
      </c>
      <c r="CD1022">
        <v>1739</v>
      </c>
      <c r="CE1022" t="s">
        <v>86</v>
      </c>
      <c r="CF1022" s="3">
        <v>46001</v>
      </c>
      <c r="CI1022">
        <v>1</v>
      </c>
      <c r="CJ1022">
        <v>1</v>
      </c>
      <c r="CK1022">
        <v>24</v>
      </c>
      <c r="CL1022" t="s">
        <v>87</v>
      </c>
    </row>
    <row r="1023" spans="1:90" x14ac:dyDescent="0.3">
      <c r="A1023" t="s">
        <v>72</v>
      </c>
      <c r="B1023" t="s">
        <v>73</v>
      </c>
      <c r="C1023" t="s">
        <v>74</v>
      </c>
      <c r="E1023" t="str">
        <f>"080069755626"</f>
        <v>080069755626</v>
      </c>
      <c r="F1023" s="3">
        <v>45999</v>
      </c>
      <c r="G1023">
        <v>202609</v>
      </c>
      <c r="H1023" t="s">
        <v>75</v>
      </c>
      <c r="I1023" t="s">
        <v>76</v>
      </c>
      <c r="J1023" t="s">
        <v>77</v>
      </c>
      <c r="K1023" t="s">
        <v>78</v>
      </c>
      <c r="L1023" t="s">
        <v>148</v>
      </c>
      <c r="M1023" t="s">
        <v>149</v>
      </c>
      <c r="N1023" t="s">
        <v>150</v>
      </c>
      <c r="O1023" t="s">
        <v>89</v>
      </c>
      <c r="P1023" t="str">
        <f>"4170072388                    "</f>
        <v xml:space="preserve">4170072388                    </v>
      </c>
      <c r="Q1023">
        <v>0</v>
      </c>
      <c r="R1023">
        <v>0</v>
      </c>
      <c r="S1023">
        <v>0</v>
      </c>
      <c r="T1023">
        <v>0</v>
      </c>
      <c r="U1023">
        <v>0</v>
      </c>
      <c r="V1023">
        <v>0</v>
      </c>
      <c r="W1023">
        <v>0</v>
      </c>
      <c r="X1023">
        <v>0</v>
      </c>
      <c r="Y1023">
        <v>0</v>
      </c>
      <c r="Z1023">
        <v>0</v>
      </c>
      <c r="AA1023">
        <v>0</v>
      </c>
      <c r="AB1023">
        <v>0</v>
      </c>
      <c r="AC1023">
        <v>0</v>
      </c>
      <c r="AD1023">
        <v>0</v>
      </c>
      <c r="AE1023">
        <v>0</v>
      </c>
      <c r="AF1023">
        <v>0</v>
      </c>
      <c r="AG1023">
        <v>0</v>
      </c>
      <c r="AH1023">
        <v>0</v>
      </c>
      <c r="AI1023">
        <v>0</v>
      </c>
      <c r="AJ1023">
        <v>0</v>
      </c>
      <c r="AK1023">
        <v>0</v>
      </c>
      <c r="AL1023">
        <v>0</v>
      </c>
      <c r="AM1023">
        <v>0</v>
      </c>
      <c r="AN1023">
        <v>0</v>
      </c>
      <c r="AO1023">
        <v>0</v>
      </c>
      <c r="AP1023">
        <v>0</v>
      </c>
      <c r="AQ1023">
        <v>49.45</v>
      </c>
      <c r="AR1023">
        <v>0</v>
      </c>
      <c r="AS1023">
        <v>0</v>
      </c>
      <c r="AT1023">
        <v>0</v>
      </c>
      <c r="AU1023">
        <v>0</v>
      </c>
      <c r="AV1023">
        <v>0</v>
      </c>
      <c r="AW1023">
        <v>0</v>
      </c>
      <c r="AX1023">
        <v>0</v>
      </c>
      <c r="AY1023">
        <v>0</v>
      </c>
      <c r="AZ1023">
        <v>0</v>
      </c>
      <c r="BA1023">
        <v>0</v>
      </c>
      <c r="BB1023">
        <v>0</v>
      </c>
      <c r="BC1023">
        <v>0</v>
      </c>
      <c r="BD1023">
        <v>0</v>
      </c>
      <c r="BE1023">
        <v>0</v>
      </c>
      <c r="BF1023">
        <v>0</v>
      </c>
      <c r="BG1023">
        <v>0</v>
      </c>
      <c r="BH1023">
        <v>1</v>
      </c>
      <c r="BI1023">
        <v>2</v>
      </c>
      <c r="BJ1023">
        <v>1.8</v>
      </c>
      <c r="BK1023">
        <v>2</v>
      </c>
      <c r="BL1023">
        <v>147.38</v>
      </c>
      <c r="BM1023">
        <v>22.11</v>
      </c>
      <c r="BN1023">
        <v>169.49</v>
      </c>
      <c r="BO1023">
        <v>169.49</v>
      </c>
      <c r="BQ1023" t="s">
        <v>151</v>
      </c>
      <c r="BR1023" t="s">
        <v>82</v>
      </c>
      <c r="BS1023" s="3">
        <v>46000</v>
      </c>
      <c r="BT1023" s="4">
        <v>0.56736111111111109</v>
      </c>
      <c r="BU1023" t="s">
        <v>1802</v>
      </c>
      <c r="BV1023" t="s">
        <v>84</v>
      </c>
      <c r="BY1023">
        <v>8816</v>
      </c>
      <c r="CA1023" t="s">
        <v>155</v>
      </c>
      <c r="CC1023" t="s">
        <v>149</v>
      </c>
      <c r="CD1023">
        <v>7300</v>
      </c>
      <c r="CE1023" t="s">
        <v>86</v>
      </c>
      <c r="CF1023" s="3">
        <v>46001</v>
      </c>
      <c r="CI1023">
        <v>1</v>
      </c>
      <c r="CJ1023">
        <v>1</v>
      </c>
      <c r="CK1023">
        <v>23</v>
      </c>
      <c r="CL1023" t="s">
        <v>87</v>
      </c>
    </row>
    <row r="1024" spans="1:90" x14ac:dyDescent="0.3">
      <c r="A1024" t="s">
        <v>72</v>
      </c>
      <c r="B1024" t="s">
        <v>73</v>
      </c>
      <c r="C1024" t="s">
        <v>74</v>
      </c>
      <c r="E1024" t="str">
        <f>"080069755692"</f>
        <v>080069755692</v>
      </c>
      <c r="F1024" s="3">
        <v>45999</v>
      </c>
      <c r="G1024">
        <v>202609</v>
      </c>
      <c r="H1024" t="s">
        <v>75</v>
      </c>
      <c r="I1024" t="s">
        <v>76</v>
      </c>
      <c r="J1024" t="s">
        <v>77</v>
      </c>
      <c r="K1024" t="s">
        <v>78</v>
      </c>
      <c r="L1024" t="s">
        <v>141</v>
      </c>
      <c r="M1024" t="s">
        <v>142</v>
      </c>
      <c r="N1024" t="s">
        <v>845</v>
      </c>
      <c r="O1024" t="s">
        <v>89</v>
      </c>
      <c r="P1024" t="str">
        <f>"4170072531                    "</f>
        <v xml:space="preserve">4170072531                    </v>
      </c>
      <c r="Q1024">
        <v>0</v>
      </c>
      <c r="R1024">
        <v>0</v>
      </c>
      <c r="S1024">
        <v>0</v>
      </c>
      <c r="T1024">
        <v>0</v>
      </c>
      <c r="U1024">
        <v>0</v>
      </c>
      <c r="V1024">
        <v>0</v>
      </c>
      <c r="W1024">
        <v>0</v>
      </c>
      <c r="X1024">
        <v>0</v>
      </c>
      <c r="Y1024">
        <v>0</v>
      </c>
      <c r="Z1024">
        <v>0</v>
      </c>
      <c r="AA1024">
        <v>0</v>
      </c>
      <c r="AB1024">
        <v>0</v>
      </c>
      <c r="AC1024">
        <v>0</v>
      </c>
      <c r="AD1024">
        <v>0</v>
      </c>
      <c r="AE1024">
        <v>0</v>
      </c>
      <c r="AF1024">
        <v>0</v>
      </c>
      <c r="AG1024">
        <v>0</v>
      </c>
      <c r="AH1024">
        <v>0</v>
      </c>
      <c r="AI1024">
        <v>0</v>
      </c>
      <c r="AJ1024">
        <v>0</v>
      </c>
      <c r="AK1024">
        <v>0</v>
      </c>
      <c r="AL1024">
        <v>0</v>
      </c>
      <c r="AM1024">
        <v>0</v>
      </c>
      <c r="AN1024">
        <v>0</v>
      </c>
      <c r="AO1024">
        <v>0</v>
      </c>
      <c r="AP1024">
        <v>0</v>
      </c>
      <c r="AQ1024">
        <v>95.68</v>
      </c>
      <c r="AR1024">
        <v>0</v>
      </c>
      <c r="AS1024">
        <v>0</v>
      </c>
      <c r="AT1024">
        <v>0</v>
      </c>
      <c r="AU1024">
        <v>0</v>
      </c>
      <c r="AV1024">
        <v>0</v>
      </c>
      <c r="AW1024">
        <v>0</v>
      </c>
      <c r="AX1024">
        <v>0</v>
      </c>
      <c r="AY1024">
        <v>0</v>
      </c>
      <c r="AZ1024">
        <v>0</v>
      </c>
      <c r="BA1024">
        <v>0</v>
      </c>
      <c r="BB1024">
        <v>0</v>
      </c>
      <c r="BC1024">
        <v>0</v>
      </c>
      <c r="BD1024">
        <v>0</v>
      </c>
      <c r="BE1024">
        <v>0</v>
      </c>
      <c r="BF1024">
        <v>0</v>
      </c>
      <c r="BG1024">
        <v>0</v>
      </c>
      <c r="BH1024">
        <v>1</v>
      </c>
      <c r="BI1024">
        <v>3</v>
      </c>
      <c r="BJ1024">
        <v>7.2</v>
      </c>
      <c r="BK1024">
        <v>7.5</v>
      </c>
      <c r="BL1024">
        <v>285.14999999999998</v>
      </c>
      <c r="BM1024">
        <v>42.77</v>
      </c>
      <c r="BN1024">
        <v>327.92</v>
      </c>
      <c r="BO1024">
        <v>327.92</v>
      </c>
      <c r="BQ1024" t="s">
        <v>1803</v>
      </c>
      <c r="BR1024" t="s">
        <v>82</v>
      </c>
      <c r="BS1024" s="3">
        <v>46000</v>
      </c>
      <c r="BT1024" s="4">
        <v>0.34375</v>
      </c>
      <c r="BU1024" t="s">
        <v>1783</v>
      </c>
      <c r="BV1024" t="s">
        <v>84</v>
      </c>
      <c r="BY1024">
        <v>36192</v>
      </c>
      <c r="CA1024" t="s">
        <v>1228</v>
      </c>
      <c r="CC1024" t="s">
        <v>142</v>
      </c>
      <c r="CD1024">
        <v>6045</v>
      </c>
      <c r="CE1024" t="s">
        <v>93</v>
      </c>
      <c r="CF1024" s="3">
        <v>46000</v>
      </c>
      <c r="CI1024">
        <v>1</v>
      </c>
      <c r="CJ1024">
        <v>1</v>
      </c>
      <c r="CK1024">
        <v>21</v>
      </c>
      <c r="CL1024" t="s">
        <v>87</v>
      </c>
    </row>
    <row r="1025" spans="1:90" x14ac:dyDescent="0.3">
      <c r="A1025" t="s">
        <v>72</v>
      </c>
      <c r="B1025" t="s">
        <v>73</v>
      </c>
      <c r="C1025" t="s">
        <v>74</v>
      </c>
      <c r="E1025" t="str">
        <f>"080069755830"</f>
        <v>080069755830</v>
      </c>
      <c r="F1025" s="3">
        <v>45999</v>
      </c>
      <c r="G1025">
        <v>202609</v>
      </c>
      <c r="H1025" t="s">
        <v>75</v>
      </c>
      <c r="I1025" t="s">
        <v>76</v>
      </c>
      <c r="J1025" t="s">
        <v>77</v>
      </c>
      <c r="K1025" t="s">
        <v>78</v>
      </c>
      <c r="L1025" t="s">
        <v>94</v>
      </c>
      <c r="M1025" t="s">
        <v>95</v>
      </c>
      <c r="N1025" t="s">
        <v>96</v>
      </c>
      <c r="O1025" t="s">
        <v>89</v>
      </c>
      <c r="P1025" t="str">
        <f>"4170072347                    "</f>
        <v xml:space="preserve">4170072347                    </v>
      </c>
      <c r="Q1025">
        <v>0</v>
      </c>
      <c r="R1025">
        <v>0</v>
      </c>
      <c r="S1025">
        <v>0</v>
      </c>
      <c r="T1025">
        <v>0</v>
      </c>
      <c r="U1025">
        <v>0</v>
      </c>
      <c r="V1025">
        <v>0</v>
      </c>
      <c r="W1025">
        <v>0</v>
      </c>
      <c r="X1025">
        <v>0</v>
      </c>
      <c r="Y1025">
        <v>0</v>
      </c>
      <c r="Z1025">
        <v>0</v>
      </c>
      <c r="AA1025">
        <v>0</v>
      </c>
      <c r="AB1025">
        <v>0</v>
      </c>
      <c r="AC1025">
        <v>0</v>
      </c>
      <c r="AD1025">
        <v>0</v>
      </c>
      <c r="AE1025">
        <v>0</v>
      </c>
      <c r="AF1025">
        <v>0</v>
      </c>
      <c r="AG1025">
        <v>0</v>
      </c>
      <c r="AH1025">
        <v>0</v>
      </c>
      <c r="AI1025">
        <v>0</v>
      </c>
      <c r="AJ1025">
        <v>0</v>
      </c>
      <c r="AK1025">
        <v>0</v>
      </c>
      <c r="AL1025">
        <v>0</v>
      </c>
      <c r="AM1025">
        <v>0</v>
      </c>
      <c r="AN1025">
        <v>0</v>
      </c>
      <c r="AO1025">
        <v>0</v>
      </c>
      <c r="AP1025">
        <v>0</v>
      </c>
      <c r="AQ1025">
        <v>25.52</v>
      </c>
      <c r="AR1025">
        <v>0</v>
      </c>
      <c r="AS1025">
        <v>0</v>
      </c>
      <c r="AT1025">
        <v>0</v>
      </c>
      <c r="AU1025">
        <v>0</v>
      </c>
      <c r="AV1025">
        <v>0</v>
      </c>
      <c r="AW1025">
        <v>0</v>
      </c>
      <c r="AX1025">
        <v>0</v>
      </c>
      <c r="AY1025">
        <v>0</v>
      </c>
      <c r="AZ1025">
        <v>0</v>
      </c>
      <c r="BA1025">
        <v>0</v>
      </c>
      <c r="BB1025">
        <v>0</v>
      </c>
      <c r="BC1025">
        <v>0</v>
      </c>
      <c r="BD1025">
        <v>0</v>
      </c>
      <c r="BE1025">
        <v>0</v>
      </c>
      <c r="BF1025">
        <v>0</v>
      </c>
      <c r="BG1025">
        <v>0</v>
      </c>
      <c r="BH1025">
        <v>1</v>
      </c>
      <c r="BI1025">
        <v>1</v>
      </c>
      <c r="BJ1025">
        <v>0.9</v>
      </c>
      <c r="BK1025">
        <v>1</v>
      </c>
      <c r="BL1025">
        <v>76.06</v>
      </c>
      <c r="BM1025">
        <v>11.41</v>
      </c>
      <c r="BN1025">
        <v>87.47</v>
      </c>
      <c r="BO1025">
        <v>87.47</v>
      </c>
      <c r="BQ1025" t="s">
        <v>97</v>
      </c>
      <c r="BR1025" t="s">
        <v>82</v>
      </c>
      <c r="BS1025" s="3">
        <v>46000</v>
      </c>
      <c r="BT1025" s="4">
        <v>0.41458333333333336</v>
      </c>
      <c r="BU1025" t="s">
        <v>98</v>
      </c>
      <c r="BV1025" t="s">
        <v>84</v>
      </c>
      <c r="BY1025">
        <v>4408</v>
      </c>
      <c r="CA1025" t="s">
        <v>99</v>
      </c>
      <c r="CC1025" t="s">
        <v>95</v>
      </c>
      <c r="CD1025">
        <v>3610</v>
      </c>
      <c r="CE1025" t="s">
        <v>86</v>
      </c>
      <c r="CF1025" s="3">
        <v>46001</v>
      </c>
      <c r="CI1025">
        <v>1</v>
      </c>
      <c r="CJ1025">
        <v>1</v>
      </c>
      <c r="CK1025">
        <v>21</v>
      </c>
      <c r="CL1025" t="s">
        <v>87</v>
      </c>
    </row>
    <row r="1026" spans="1:90" x14ac:dyDescent="0.3">
      <c r="A1026" t="s">
        <v>72</v>
      </c>
      <c r="B1026" t="s">
        <v>73</v>
      </c>
      <c r="C1026" t="s">
        <v>74</v>
      </c>
      <c r="E1026" t="str">
        <f>"080069755898"</f>
        <v>080069755898</v>
      </c>
      <c r="F1026" s="3">
        <v>45999</v>
      </c>
      <c r="G1026">
        <v>202609</v>
      </c>
      <c r="H1026" t="s">
        <v>75</v>
      </c>
      <c r="I1026" t="s">
        <v>76</v>
      </c>
      <c r="J1026" t="s">
        <v>77</v>
      </c>
      <c r="K1026" t="s">
        <v>78</v>
      </c>
      <c r="L1026" t="s">
        <v>176</v>
      </c>
      <c r="M1026" t="s">
        <v>177</v>
      </c>
      <c r="N1026" t="s">
        <v>178</v>
      </c>
      <c r="O1026" t="s">
        <v>89</v>
      </c>
      <c r="P1026" t="str">
        <f>"4170072479                    "</f>
        <v xml:space="preserve">4170072479                    </v>
      </c>
      <c r="Q1026">
        <v>0</v>
      </c>
      <c r="R1026">
        <v>0</v>
      </c>
      <c r="S1026">
        <v>0</v>
      </c>
      <c r="T1026">
        <v>0</v>
      </c>
      <c r="U1026">
        <v>0</v>
      </c>
      <c r="V1026">
        <v>0</v>
      </c>
      <c r="W1026">
        <v>0</v>
      </c>
      <c r="X1026">
        <v>0</v>
      </c>
      <c r="Y1026">
        <v>0</v>
      </c>
      <c r="Z1026">
        <v>0</v>
      </c>
      <c r="AA1026">
        <v>0</v>
      </c>
      <c r="AB1026">
        <v>0</v>
      </c>
      <c r="AC1026">
        <v>0</v>
      </c>
      <c r="AD1026">
        <v>0</v>
      </c>
      <c r="AE1026">
        <v>0</v>
      </c>
      <c r="AF1026">
        <v>0</v>
      </c>
      <c r="AG1026">
        <v>0</v>
      </c>
      <c r="AH1026">
        <v>0</v>
      </c>
      <c r="AI1026">
        <v>0</v>
      </c>
      <c r="AJ1026">
        <v>0</v>
      </c>
      <c r="AK1026">
        <v>0</v>
      </c>
      <c r="AL1026">
        <v>0</v>
      </c>
      <c r="AM1026">
        <v>0</v>
      </c>
      <c r="AN1026">
        <v>0</v>
      </c>
      <c r="AO1026">
        <v>0</v>
      </c>
      <c r="AP1026">
        <v>0</v>
      </c>
      <c r="AQ1026">
        <v>19.940000000000001</v>
      </c>
      <c r="AR1026">
        <v>0</v>
      </c>
      <c r="AS1026">
        <v>0</v>
      </c>
      <c r="AT1026">
        <v>0</v>
      </c>
      <c r="AU1026">
        <v>0</v>
      </c>
      <c r="AV1026">
        <v>0</v>
      </c>
      <c r="AW1026">
        <v>0</v>
      </c>
      <c r="AX1026">
        <v>0</v>
      </c>
      <c r="AY1026">
        <v>0</v>
      </c>
      <c r="AZ1026">
        <v>0</v>
      </c>
      <c r="BA1026">
        <v>0</v>
      </c>
      <c r="BB1026">
        <v>0</v>
      </c>
      <c r="BC1026">
        <v>0</v>
      </c>
      <c r="BD1026">
        <v>0</v>
      </c>
      <c r="BE1026">
        <v>0</v>
      </c>
      <c r="BF1026">
        <v>0</v>
      </c>
      <c r="BG1026">
        <v>0</v>
      </c>
      <c r="BH1026">
        <v>1</v>
      </c>
      <c r="BI1026">
        <v>2</v>
      </c>
      <c r="BJ1026">
        <v>0.9</v>
      </c>
      <c r="BK1026">
        <v>2</v>
      </c>
      <c r="BL1026">
        <v>59.42</v>
      </c>
      <c r="BM1026">
        <v>8.91</v>
      </c>
      <c r="BN1026">
        <v>68.33</v>
      </c>
      <c r="BO1026">
        <v>68.33</v>
      </c>
      <c r="BQ1026" t="s">
        <v>179</v>
      </c>
      <c r="BR1026" t="s">
        <v>82</v>
      </c>
      <c r="BS1026" s="3">
        <v>46000</v>
      </c>
      <c r="BT1026" s="4">
        <v>0.4284722222222222</v>
      </c>
      <c r="BU1026" t="s">
        <v>1433</v>
      </c>
      <c r="BV1026" t="s">
        <v>84</v>
      </c>
      <c r="BY1026">
        <v>4275</v>
      </c>
      <c r="CA1026" t="s">
        <v>182</v>
      </c>
      <c r="CC1026" t="s">
        <v>177</v>
      </c>
      <c r="CD1026">
        <v>2094</v>
      </c>
      <c r="CE1026" t="s">
        <v>86</v>
      </c>
      <c r="CF1026" s="3">
        <v>46001</v>
      </c>
      <c r="CI1026">
        <v>1</v>
      </c>
      <c r="CJ1026">
        <v>1</v>
      </c>
      <c r="CK1026">
        <v>22</v>
      </c>
      <c r="CL1026" t="s">
        <v>87</v>
      </c>
    </row>
    <row r="1027" spans="1:90" x14ac:dyDescent="0.3">
      <c r="A1027" t="s">
        <v>72</v>
      </c>
      <c r="B1027" t="s">
        <v>73</v>
      </c>
      <c r="C1027" t="s">
        <v>74</v>
      </c>
      <c r="E1027" t="str">
        <f>"080069755930"</f>
        <v>080069755930</v>
      </c>
      <c r="F1027" s="3">
        <v>45999</v>
      </c>
      <c r="G1027">
        <v>202609</v>
      </c>
      <c r="H1027" t="s">
        <v>75</v>
      </c>
      <c r="I1027" t="s">
        <v>76</v>
      </c>
      <c r="J1027" t="s">
        <v>77</v>
      </c>
      <c r="K1027" t="s">
        <v>78</v>
      </c>
      <c r="L1027" t="s">
        <v>189</v>
      </c>
      <c r="M1027" t="s">
        <v>190</v>
      </c>
      <c r="N1027" t="s">
        <v>1053</v>
      </c>
      <c r="O1027" t="s">
        <v>89</v>
      </c>
      <c r="P1027" t="str">
        <f>"4170072319                    "</f>
        <v xml:space="preserve">4170072319                    </v>
      </c>
      <c r="Q1027">
        <v>0</v>
      </c>
      <c r="R1027">
        <v>0</v>
      </c>
      <c r="S1027">
        <v>0</v>
      </c>
      <c r="T1027">
        <v>0</v>
      </c>
      <c r="U1027">
        <v>0</v>
      </c>
      <c r="V1027">
        <v>0</v>
      </c>
      <c r="W1027">
        <v>0</v>
      </c>
      <c r="X1027">
        <v>0</v>
      </c>
      <c r="Y1027">
        <v>0</v>
      </c>
      <c r="Z1027">
        <v>0</v>
      </c>
      <c r="AA1027">
        <v>0</v>
      </c>
      <c r="AB1027">
        <v>0</v>
      </c>
      <c r="AC1027">
        <v>0</v>
      </c>
      <c r="AD1027">
        <v>0</v>
      </c>
      <c r="AE1027">
        <v>0</v>
      </c>
      <c r="AF1027">
        <v>0</v>
      </c>
      <c r="AG1027">
        <v>0</v>
      </c>
      <c r="AH1027">
        <v>0</v>
      </c>
      <c r="AI1027">
        <v>0</v>
      </c>
      <c r="AJ1027">
        <v>0</v>
      </c>
      <c r="AK1027">
        <v>0</v>
      </c>
      <c r="AL1027">
        <v>0</v>
      </c>
      <c r="AM1027">
        <v>0</v>
      </c>
      <c r="AN1027">
        <v>0</v>
      </c>
      <c r="AO1027">
        <v>0</v>
      </c>
      <c r="AP1027">
        <v>0</v>
      </c>
      <c r="AQ1027">
        <v>140.33000000000001</v>
      </c>
      <c r="AR1027">
        <v>0</v>
      </c>
      <c r="AS1027">
        <v>0</v>
      </c>
      <c r="AT1027">
        <v>0</v>
      </c>
      <c r="AU1027">
        <v>0</v>
      </c>
      <c r="AV1027">
        <v>0</v>
      </c>
      <c r="AW1027">
        <v>0</v>
      </c>
      <c r="AX1027">
        <v>0</v>
      </c>
      <c r="AY1027">
        <v>0</v>
      </c>
      <c r="AZ1027">
        <v>0</v>
      </c>
      <c r="BA1027">
        <v>0</v>
      </c>
      <c r="BB1027">
        <v>0</v>
      </c>
      <c r="BC1027">
        <v>0</v>
      </c>
      <c r="BD1027">
        <v>0</v>
      </c>
      <c r="BE1027">
        <v>0</v>
      </c>
      <c r="BF1027">
        <v>0</v>
      </c>
      <c r="BG1027">
        <v>0</v>
      </c>
      <c r="BH1027">
        <v>1</v>
      </c>
      <c r="BI1027">
        <v>4</v>
      </c>
      <c r="BJ1027">
        <v>10.6</v>
      </c>
      <c r="BK1027">
        <v>11</v>
      </c>
      <c r="BL1027">
        <v>418.21</v>
      </c>
      <c r="BM1027">
        <v>62.73</v>
      </c>
      <c r="BN1027">
        <v>480.94</v>
      </c>
      <c r="BO1027">
        <v>480.94</v>
      </c>
      <c r="BQ1027" t="s">
        <v>1054</v>
      </c>
      <c r="BR1027" t="s">
        <v>82</v>
      </c>
      <c r="BS1027" s="3">
        <v>46001</v>
      </c>
      <c r="BT1027" s="4">
        <v>0.48333333333333334</v>
      </c>
      <c r="BU1027" t="s">
        <v>1699</v>
      </c>
      <c r="BV1027" t="s">
        <v>87</v>
      </c>
      <c r="BY1027">
        <v>53200</v>
      </c>
      <c r="CA1027" t="s">
        <v>1474</v>
      </c>
      <c r="CC1027" t="s">
        <v>190</v>
      </c>
      <c r="CD1027">
        <v>3201</v>
      </c>
      <c r="CE1027" t="s">
        <v>86</v>
      </c>
      <c r="CF1027" s="3">
        <v>46002</v>
      </c>
      <c r="CI1027">
        <v>1</v>
      </c>
      <c r="CJ1027">
        <v>2</v>
      </c>
      <c r="CK1027">
        <v>21</v>
      </c>
      <c r="CL1027" t="s">
        <v>87</v>
      </c>
    </row>
    <row r="1028" spans="1:90" x14ac:dyDescent="0.3">
      <c r="A1028" t="s">
        <v>72</v>
      </c>
      <c r="B1028" t="s">
        <v>73</v>
      </c>
      <c r="C1028" t="s">
        <v>74</v>
      </c>
      <c r="E1028" t="str">
        <f>"080069755987"</f>
        <v>080069755987</v>
      </c>
      <c r="F1028" s="3">
        <v>45999</v>
      </c>
      <c r="G1028">
        <v>202609</v>
      </c>
      <c r="H1028" t="s">
        <v>75</v>
      </c>
      <c r="I1028" t="s">
        <v>76</v>
      </c>
      <c r="J1028" t="s">
        <v>77</v>
      </c>
      <c r="K1028" t="s">
        <v>78</v>
      </c>
      <c r="L1028" t="s">
        <v>389</v>
      </c>
      <c r="M1028" t="s">
        <v>390</v>
      </c>
      <c r="N1028" t="s">
        <v>581</v>
      </c>
      <c r="O1028" t="s">
        <v>89</v>
      </c>
      <c r="P1028" t="str">
        <f>"4170072382                    "</f>
        <v xml:space="preserve">4170072382                    </v>
      </c>
      <c r="Q1028">
        <v>0</v>
      </c>
      <c r="R1028">
        <v>0</v>
      </c>
      <c r="S1028">
        <v>0</v>
      </c>
      <c r="T1028">
        <v>0</v>
      </c>
      <c r="U1028">
        <v>0</v>
      </c>
      <c r="V1028">
        <v>0</v>
      </c>
      <c r="W1028">
        <v>0</v>
      </c>
      <c r="X1028">
        <v>0</v>
      </c>
      <c r="Y1028">
        <v>0</v>
      </c>
      <c r="Z1028">
        <v>0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>
        <v>0</v>
      </c>
      <c r="AG1028">
        <v>0</v>
      </c>
      <c r="AH1028">
        <v>0</v>
      </c>
      <c r="AI1028">
        <v>0</v>
      </c>
      <c r="AJ1028">
        <v>0</v>
      </c>
      <c r="AK1028">
        <v>0</v>
      </c>
      <c r="AL1028">
        <v>0</v>
      </c>
      <c r="AM1028">
        <v>0</v>
      </c>
      <c r="AN1028">
        <v>0</v>
      </c>
      <c r="AO1028">
        <v>0</v>
      </c>
      <c r="AP1028">
        <v>0</v>
      </c>
      <c r="AQ1028">
        <v>116.45</v>
      </c>
      <c r="AR1028">
        <v>0</v>
      </c>
      <c r="AS1028">
        <v>0</v>
      </c>
      <c r="AT1028">
        <v>0</v>
      </c>
      <c r="AU1028">
        <v>0</v>
      </c>
      <c r="AV1028">
        <v>0</v>
      </c>
      <c r="AW1028">
        <v>0</v>
      </c>
      <c r="AX1028">
        <v>0</v>
      </c>
      <c r="AY1028">
        <v>0</v>
      </c>
      <c r="AZ1028">
        <v>0</v>
      </c>
      <c r="BA1028">
        <v>0</v>
      </c>
      <c r="BB1028">
        <v>0</v>
      </c>
      <c r="BC1028">
        <v>0</v>
      </c>
      <c r="BD1028">
        <v>0</v>
      </c>
      <c r="BE1028">
        <v>0</v>
      </c>
      <c r="BF1028">
        <v>0</v>
      </c>
      <c r="BG1028">
        <v>0</v>
      </c>
      <c r="BH1028">
        <v>1</v>
      </c>
      <c r="BI1028">
        <v>5</v>
      </c>
      <c r="BJ1028">
        <v>1.9</v>
      </c>
      <c r="BK1028">
        <v>5</v>
      </c>
      <c r="BL1028">
        <v>347.04</v>
      </c>
      <c r="BM1028">
        <v>52.06</v>
      </c>
      <c r="BN1028">
        <v>399.1</v>
      </c>
      <c r="BO1028">
        <v>399.1</v>
      </c>
      <c r="BQ1028" t="s">
        <v>582</v>
      </c>
      <c r="BR1028" t="s">
        <v>82</v>
      </c>
      <c r="BS1028" s="3">
        <v>46000</v>
      </c>
      <c r="BT1028" s="4">
        <v>0.42430555555555555</v>
      </c>
      <c r="BU1028" t="s">
        <v>1724</v>
      </c>
      <c r="BV1028" t="s">
        <v>84</v>
      </c>
      <c r="BY1028">
        <v>9576</v>
      </c>
      <c r="CA1028">
        <v>7601035402088</v>
      </c>
      <c r="CC1028" t="s">
        <v>390</v>
      </c>
      <c r="CD1028" s="5" t="s">
        <v>395</v>
      </c>
      <c r="CE1028" t="s">
        <v>86</v>
      </c>
      <c r="CF1028" s="3">
        <v>46002</v>
      </c>
      <c r="CI1028">
        <v>1</v>
      </c>
      <c r="CJ1028">
        <v>1</v>
      </c>
      <c r="CK1028">
        <v>23</v>
      </c>
      <c r="CL1028" t="s">
        <v>87</v>
      </c>
    </row>
    <row r="1029" spans="1:90" x14ac:dyDescent="0.3">
      <c r="A1029" t="s">
        <v>72</v>
      </c>
      <c r="B1029" t="s">
        <v>73</v>
      </c>
      <c r="C1029" t="s">
        <v>74</v>
      </c>
      <c r="E1029" t="str">
        <f>"080069756025"</f>
        <v>080069756025</v>
      </c>
      <c r="F1029" s="3">
        <v>45999</v>
      </c>
      <c r="G1029">
        <v>202609</v>
      </c>
      <c r="H1029" t="s">
        <v>75</v>
      </c>
      <c r="I1029" t="s">
        <v>76</v>
      </c>
      <c r="J1029" t="s">
        <v>77</v>
      </c>
      <c r="K1029" t="s">
        <v>78</v>
      </c>
      <c r="L1029" t="s">
        <v>1804</v>
      </c>
      <c r="M1029" t="s">
        <v>1805</v>
      </c>
      <c r="N1029" t="s">
        <v>1806</v>
      </c>
      <c r="O1029" t="s">
        <v>89</v>
      </c>
      <c r="P1029" t="str">
        <f>"4170072326                    "</f>
        <v xml:space="preserve">4170072326                    </v>
      </c>
      <c r="Q1029">
        <v>0</v>
      </c>
      <c r="R1029">
        <v>0</v>
      </c>
      <c r="S1029">
        <v>0</v>
      </c>
      <c r="T1029">
        <v>0</v>
      </c>
      <c r="U1029">
        <v>0</v>
      </c>
      <c r="V1029">
        <v>0</v>
      </c>
      <c r="W1029">
        <v>0</v>
      </c>
      <c r="X1029">
        <v>0</v>
      </c>
      <c r="Y1029">
        <v>0</v>
      </c>
      <c r="Z1029">
        <v>0</v>
      </c>
      <c r="AA1029">
        <v>0</v>
      </c>
      <c r="AB1029">
        <v>0</v>
      </c>
      <c r="AC1029">
        <v>0</v>
      </c>
      <c r="AD1029">
        <v>0</v>
      </c>
      <c r="AE1029">
        <v>0</v>
      </c>
      <c r="AF1029">
        <v>0</v>
      </c>
      <c r="AG1029">
        <v>0</v>
      </c>
      <c r="AH1029">
        <v>0</v>
      </c>
      <c r="AI1029">
        <v>0</v>
      </c>
      <c r="AJ1029">
        <v>0</v>
      </c>
      <c r="AK1029">
        <v>0</v>
      </c>
      <c r="AL1029">
        <v>0</v>
      </c>
      <c r="AM1029">
        <v>0</v>
      </c>
      <c r="AN1029">
        <v>0</v>
      </c>
      <c r="AO1029">
        <v>0</v>
      </c>
      <c r="AP1029">
        <v>0</v>
      </c>
      <c r="AQ1029">
        <v>105.28</v>
      </c>
      <c r="AR1029">
        <v>0</v>
      </c>
      <c r="AS1029">
        <v>0</v>
      </c>
      <c r="AT1029">
        <v>0</v>
      </c>
      <c r="AU1029">
        <v>0</v>
      </c>
      <c r="AV1029">
        <v>0</v>
      </c>
      <c r="AW1029">
        <v>0</v>
      </c>
      <c r="AX1029">
        <v>0</v>
      </c>
      <c r="AY1029">
        <v>0</v>
      </c>
      <c r="AZ1029">
        <v>0</v>
      </c>
      <c r="BA1029">
        <v>0</v>
      </c>
      <c r="BB1029">
        <v>0</v>
      </c>
      <c r="BC1029">
        <v>0</v>
      </c>
      <c r="BD1029">
        <v>0</v>
      </c>
      <c r="BE1029">
        <v>0</v>
      </c>
      <c r="BF1029">
        <v>0</v>
      </c>
      <c r="BG1029">
        <v>0</v>
      </c>
      <c r="BH1029">
        <v>1</v>
      </c>
      <c r="BI1029">
        <v>1</v>
      </c>
      <c r="BJ1029">
        <v>4.0999999999999996</v>
      </c>
      <c r="BK1029">
        <v>4.5</v>
      </c>
      <c r="BL1029">
        <v>313.76</v>
      </c>
      <c r="BM1029">
        <v>47.06</v>
      </c>
      <c r="BN1029">
        <v>360.82</v>
      </c>
      <c r="BO1029">
        <v>360.82</v>
      </c>
      <c r="BQ1029" t="s">
        <v>1807</v>
      </c>
      <c r="BR1029" t="s">
        <v>82</v>
      </c>
      <c r="BS1029" s="3">
        <v>46000</v>
      </c>
      <c r="BT1029" s="4">
        <v>0.41875000000000001</v>
      </c>
      <c r="BU1029" t="s">
        <v>1808</v>
      </c>
      <c r="BV1029" t="s">
        <v>84</v>
      </c>
      <c r="BY1029">
        <v>20358</v>
      </c>
      <c r="CA1029">
        <v>8505026533083</v>
      </c>
      <c r="CC1029" t="s">
        <v>1805</v>
      </c>
      <c r="CD1029">
        <v>1034</v>
      </c>
      <c r="CE1029" t="s">
        <v>86</v>
      </c>
      <c r="CF1029" s="3">
        <v>46000</v>
      </c>
      <c r="CI1029">
        <v>1</v>
      </c>
      <c r="CJ1029">
        <v>1</v>
      </c>
      <c r="CK1029">
        <v>23</v>
      </c>
      <c r="CL1029" t="s">
        <v>87</v>
      </c>
    </row>
    <row r="1030" spans="1:90" x14ac:dyDescent="0.3">
      <c r="A1030" t="s">
        <v>72</v>
      </c>
      <c r="B1030" t="s">
        <v>73</v>
      </c>
      <c r="C1030" t="s">
        <v>74</v>
      </c>
      <c r="E1030" t="str">
        <f>"080069756108"</f>
        <v>080069756108</v>
      </c>
      <c r="F1030" s="3">
        <v>45999</v>
      </c>
      <c r="G1030">
        <v>202609</v>
      </c>
      <c r="H1030" t="s">
        <v>75</v>
      </c>
      <c r="I1030" t="s">
        <v>76</v>
      </c>
      <c r="J1030" t="s">
        <v>77</v>
      </c>
      <c r="K1030" t="s">
        <v>78</v>
      </c>
      <c r="L1030" t="s">
        <v>302</v>
      </c>
      <c r="M1030" t="s">
        <v>303</v>
      </c>
      <c r="N1030" t="s">
        <v>1809</v>
      </c>
      <c r="O1030" t="s">
        <v>89</v>
      </c>
      <c r="P1030" t="str">
        <f>"4170072432                    "</f>
        <v xml:space="preserve">4170072432                    </v>
      </c>
      <c r="Q1030">
        <v>0</v>
      </c>
      <c r="R1030">
        <v>0</v>
      </c>
      <c r="S1030">
        <v>0</v>
      </c>
      <c r="T1030">
        <v>0</v>
      </c>
      <c r="U1030">
        <v>0</v>
      </c>
      <c r="V1030">
        <v>0</v>
      </c>
      <c r="W1030">
        <v>0</v>
      </c>
      <c r="X1030">
        <v>0</v>
      </c>
      <c r="Y1030">
        <v>0</v>
      </c>
      <c r="Z1030">
        <v>0</v>
      </c>
      <c r="AA1030">
        <v>0</v>
      </c>
      <c r="AB1030">
        <v>0</v>
      </c>
      <c r="AC1030">
        <v>0</v>
      </c>
      <c r="AD1030">
        <v>0</v>
      </c>
      <c r="AE1030">
        <v>0</v>
      </c>
      <c r="AF1030">
        <v>0</v>
      </c>
      <c r="AG1030">
        <v>0</v>
      </c>
      <c r="AH1030">
        <v>0</v>
      </c>
      <c r="AI1030">
        <v>0</v>
      </c>
      <c r="AJ1030">
        <v>0</v>
      </c>
      <c r="AK1030">
        <v>0</v>
      </c>
      <c r="AL1030">
        <v>0</v>
      </c>
      <c r="AM1030">
        <v>0</v>
      </c>
      <c r="AN1030">
        <v>0</v>
      </c>
      <c r="AO1030">
        <v>0</v>
      </c>
      <c r="AP1030">
        <v>0</v>
      </c>
      <c r="AQ1030">
        <v>63.79</v>
      </c>
      <c r="AR1030">
        <v>0</v>
      </c>
      <c r="AS1030">
        <v>0</v>
      </c>
      <c r="AT1030">
        <v>0</v>
      </c>
      <c r="AU1030">
        <v>0</v>
      </c>
      <c r="AV1030">
        <v>0</v>
      </c>
      <c r="AW1030">
        <v>0</v>
      </c>
      <c r="AX1030">
        <v>0</v>
      </c>
      <c r="AY1030">
        <v>0</v>
      </c>
      <c r="AZ1030">
        <v>0</v>
      </c>
      <c r="BA1030">
        <v>0</v>
      </c>
      <c r="BB1030">
        <v>0</v>
      </c>
      <c r="BC1030">
        <v>0</v>
      </c>
      <c r="BD1030">
        <v>0</v>
      </c>
      <c r="BE1030">
        <v>0</v>
      </c>
      <c r="BF1030">
        <v>0</v>
      </c>
      <c r="BG1030">
        <v>0</v>
      </c>
      <c r="BH1030">
        <v>1</v>
      </c>
      <c r="BI1030">
        <v>3</v>
      </c>
      <c r="BJ1030">
        <v>4.7</v>
      </c>
      <c r="BK1030">
        <v>5</v>
      </c>
      <c r="BL1030">
        <v>190.11</v>
      </c>
      <c r="BM1030">
        <v>28.52</v>
      </c>
      <c r="BN1030">
        <v>218.63</v>
      </c>
      <c r="BO1030">
        <v>218.63</v>
      </c>
      <c r="BQ1030" t="s">
        <v>1810</v>
      </c>
      <c r="BR1030" t="s">
        <v>82</v>
      </c>
      <c r="BS1030" s="3">
        <v>46000</v>
      </c>
      <c r="BT1030" s="4">
        <v>0.3972222222222222</v>
      </c>
      <c r="BU1030" t="s">
        <v>1811</v>
      </c>
      <c r="BV1030" t="s">
        <v>84</v>
      </c>
      <c r="BY1030">
        <v>23625</v>
      </c>
      <c r="CA1030">
        <v>8802126406082</v>
      </c>
      <c r="CC1030" t="s">
        <v>303</v>
      </c>
      <c r="CD1030" s="5" t="s">
        <v>1812</v>
      </c>
      <c r="CE1030" t="s">
        <v>93</v>
      </c>
      <c r="CF1030" s="3">
        <v>46000</v>
      </c>
      <c r="CI1030">
        <v>1</v>
      </c>
      <c r="CJ1030">
        <v>1</v>
      </c>
      <c r="CK1030">
        <v>21</v>
      </c>
      <c r="CL1030" t="s">
        <v>87</v>
      </c>
    </row>
    <row r="1031" spans="1:90" x14ac:dyDescent="0.3">
      <c r="A1031" t="s">
        <v>72</v>
      </c>
      <c r="B1031" t="s">
        <v>73</v>
      </c>
      <c r="C1031" t="s">
        <v>74</v>
      </c>
      <c r="E1031" t="str">
        <f>"080069756158"</f>
        <v>080069756158</v>
      </c>
      <c r="F1031" s="3">
        <v>45999</v>
      </c>
      <c r="G1031">
        <v>202609</v>
      </c>
      <c r="H1031" t="s">
        <v>75</v>
      </c>
      <c r="I1031" t="s">
        <v>76</v>
      </c>
      <c r="J1031" t="s">
        <v>77</v>
      </c>
      <c r="K1031" t="s">
        <v>78</v>
      </c>
      <c r="L1031" t="s">
        <v>302</v>
      </c>
      <c r="M1031" t="s">
        <v>303</v>
      </c>
      <c r="N1031" t="s">
        <v>1809</v>
      </c>
      <c r="O1031" t="s">
        <v>89</v>
      </c>
      <c r="P1031" t="str">
        <f>"4170072489                    "</f>
        <v xml:space="preserve">4170072489                    </v>
      </c>
      <c r="Q1031">
        <v>0</v>
      </c>
      <c r="R1031">
        <v>0</v>
      </c>
      <c r="S1031">
        <v>0</v>
      </c>
      <c r="T1031">
        <v>0</v>
      </c>
      <c r="U1031">
        <v>0</v>
      </c>
      <c r="V1031">
        <v>0</v>
      </c>
      <c r="W1031">
        <v>0</v>
      </c>
      <c r="X1031">
        <v>0</v>
      </c>
      <c r="Y1031">
        <v>0</v>
      </c>
      <c r="Z1031">
        <v>0</v>
      </c>
      <c r="AA1031">
        <v>0</v>
      </c>
      <c r="AB1031">
        <v>0</v>
      </c>
      <c r="AC1031">
        <v>0</v>
      </c>
      <c r="AD1031">
        <v>0</v>
      </c>
      <c r="AE1031">
        <v>0</v>
      </c>
      <c r="AF1031">
        <v>0</v>
      </c>
      <c r="AG1031">
        <v>0</v>
      </c>
      <c r="AH1031">
        <v>0</v>
      </c>
      <c r="AI1031">
        <v>0</v>
      </c>
      <c r="AJ1031">
        <v>0</v>
      </c>
      <c r="AK1031">
        <v>0</v>
      </c>
      <c r="AL1031">
        <v>0</v>
      </c>
      <c r="AM1031">
        <v>0</v>
      </c>
      <c r="AN1031">
        <v>0</v>
      </c>
      <c r="AO1031">
        <v>0</v>
      </c>
      <c r="AP1031">
        <v>0</v>
      </c>
      <c r="AQ1031">
        <v>70.17</v>
      </c>
      <c r="AR1031">
        <v>0</v>
      </c>
      <c r="AS1031">
        <v>0</v>
      </c>
      <c r="AT1031">
        <v>0</v>
      </c>
      <c r="AU1031">
        <v>0</v>
      </c>
      <c r="AV1031">
        <v>0</v>
      </c>
      <c r="AW1031">
        <v>0</v>
      </c>
      <c r="AX1031">
        <v>0</v>
      </c>
      <c r="AY1031">
        <v>0</v>
      </c>
      <c r="AZ1031">
        <v>0</v>
      </c>
      <c r="BA1031">
        <v>0</v>
      </c>
      <c r="BB1031">
        <v>0</v>
      </c>
      <c r="BC1031">
        <v>0</v>
      </c>
      <c r="BD1031">
        <v>0</v>
      </c>
      <c r="BE1031">
        <v>0</v>
      </c>
      <c r="BF1031">
        <v>0</v>
      </c>
      <c r="BG1031">
        <v>0</v>
      </c>
      <c r="BH1031">
        <v>1</v>
      </c>
      <c r="BI1031">
        <v>2</v>
      </c>
      <c r="BJ1031">
        <v>5.4</v>
      </c>
      <c r="BK1031">
        <v>5.5</v>
      </c>
      <c r="BL1031">
        <v>209.12</v>
      </c>
      <c r="BM1031">
        <v>31.37</v>
      </c>
      <c r="BN1031">
        <v>240.49</v>
      </c>
      <c r="BO1031">
        <v>240.49</v>
      </c>
      <c r="BQ1031" t="s">
        <v>1810</v>
      </c>
      <c r="BR1031" t="s">
        <v>82</v>
      </c>
      <c r="BS1031" s="3">
        <v>46000</v>
      </c>
      <c r="BT1031" s="4">
        <v>0.39791666666666664</v>
      </c>
      <c r="BU1031" t="s">
        <v>1811</v>
      </c>
      <c r="BV1031" t="s">
        <v>84</v>
      </c>
      <c r="BY1031">
        <v>26775</v>
      </c>
      <c r="CA1031">
        <v>8802126406082</v>
      </c>
      <c r="CC1031" t="s">
        <v>303</v>
      </c>
      <c r="CD1031" s="5" t="s">
        <v>1812</v>
      </c>
      <c r="CE1031" t="s">
        <v>93</v>
      </c>
      <c r="CF1031" s="3">
        <v>46000</v>
      </c>
      <c r="CI1031">
        <v>1</v>
      </c>
      <c r="CJ1031">
        <v>1</v>
      </c>
      <c r="CK1031">
        <v>21</v>
      </c>
      <c r="CL1031" t="s">
        <v>87</v>
      </c>
    </row>
    <row r="1032" spans="1:90" x14ac:dyDescent="0.3">
      <c r="A1032" t="s">
        <v>72</v>
      </c>
      <c r="B1032" t="s">
        <v>73</v>
      </c>
      <c r="C1032" t="s">
        <v>74</v>
      </c>
      <c r="E1032" t="str">
        <f>"080069756213"</f>
        <v>080069756213</v>
      </c>
      <c r="F1032" s="3">
        <v>45999</v>
      </c>
      <c r="G1032">
        <v>202609</v>
      </c>
      <c r="H1032" t="s">
        <v>75</v>
      </c>
      <c r="I1032" t="s">
        <v>76</v>
      </c>
      <c r="J1032" t="s">
        <v>77</v>
      </c>
      <c r="K1032" t="s">
        <v>78</v>
      </c>
      <c r="L1032" t="s">
        <v>114</v>
      </c>
      <c r="M1032" t="s">
        <v>115</v>
      </c>
      <c r="N1032" t="s">
        <v>116</v>
      </c>
      <c r="O1032" t="s">
        <v>89</v>
      </c>
      <c r="P1032" t="str">
        <f>"4170072332                    "</f>
        <v xml:space="preserve">4170072332                    </v>
      </c>
      <c r="Q1032">
        <v>0</v>
      </c>
      <c r="R1032">
        <v>0</v>
      </c>
      <c r="S1032">
        <v>0</v>
      </c>
      <c r="T1032">
        <v>0</v>
      </c>
      <c r="U1032">
        <v>0</v>
      </c>
      <c r="V1032">
        <v>0</v>
      </c>
      <c r="W1032">
        <v>0</v>
      </c>
      <c r="X1032">
        <v>0</v>
      </c>
      <c r="Y1032">
        <v>0</v>
      </c>
      <c r="Z1032">
        <v>0</v>
      </c>
      <c r="AA1032">
        <v>0</v>
      </c>
      <c r="AB1032">
        <v>0</v>
      </c>
      <c r="AC1032">
        <v>0</v>
      </c>
      <c r="AD1032">
        <v>0</v>
      </c>
      <c r="AE1032">
        <v>0</v>
      </c>
      <c r="AF1032">
        <v>0</v>
      </c>
      <c r="AG1032">
        <v>0</v>
      </c>
      <c r="AH1032">
        <v>0</v>
      </c>
      <c r="AI1032">
        <v>0</v>
      </c>
      <c r="AJ1032">
        <v>0</v>
      </c>
      <c r="AK1032">
        <v>0</v>
      </c>
      <c r="AL1032">
        <v>0</v>
      </c>
      <c r="AM1032">
        <v>0</v>
      </c>
      <c r="AN1032">
        <v>0</v>
      </c>
      <c r="AO1032">
        <v>0</v>
      </c>
      <c r="AP1032">
        <v>0</v>
      </c>
      <c r="AQ1032">
        <v>49.45</v>
      </c>
      <c r="AR1032">
        <v>0</v>
      </c>
      <c r="AS1032">
        <v>0</v>
      </c>
      <c r="AT1032">
        <v>0</v>
      </c>
      <c r="AU1032">
        <v>0</v>
      </c>
      <c r="AV1032">
        <v>0</v>
      </c>
      <c r="AW1032">
        <v>0</v>
      </c>
      <c r="AX1032">
        <v>0</v>
      </c>
      <c r="AY1032">
        <v>0</v>
      </c>
      <c r="AZ1032">
        <v>0</v>
      </c>
      <c r="BA1032">
        <v>0</v>
      </c>
      <c r="BB1032">
        <v>0</v>
      </c>
      <c r="BC1032">
        <v>0</v>
      </c>
      <c r="BD1032">
        <v>0</v>
      </c>
      <c r="BE1032">
        <v>0</v>
      </c>
      <c r="BF1032">
        <v>0</v>
      </c>
      <c r="BG1032">
        <v>0</v>
      </c>
      <c r="BH1032">
        <v>1</v>
      </c>
      <c r="BI1032">
        <v>1</v>
      </c>
      <c r="BJ1032">
        <v>0.2</v>
      </c>
      <c r="BK1032">
        <v>1</v>
      </c>
      <c r="BL1032">
        <v>147.38</v>
      </c>
      <c r="BM1032">
        <v>22.11</v>
      </c>
      <c r="BN1032">
        <v>169.49</v>
      </c>
      <c r="BO1032">
        <v>169.49</v>
      </c>
      <c r="BQ1032" t="s">
        <v>117</v>
      </c>
      <c r="BR1032" t="s">
        <v>82</v>
      </c>
      <c r="BS1032" s="3">
        <v>46000</v>
      </c>
      <c r="BT1032" s="4">
        <v>0.58333333333333337</v>
      </c>
      <c r="BU1032" t="s">
        <v>118</v>
      </c>
      <c r="BV1032" t="s">
        <v>84</v>
      </c>
      <c r="BY1032">
        <v>1200</v>
      </c>
      <c r="CA1032" t="s">
        <v>119</v>
      </c>
      <c r="CC1032" t="s">
        <v>115</v>
      </c>
      <c r="CD1032">
        <v>6715</v>
      </c>
      <c r="CE1032" t="s">
        <v>134</v>
      </c>
      <c r="CF1032" s="3">
        <v>46001</v>
      </c>
      <c r="CI1032">
        <v>2</v>
      </c>
      <c r="CJ1032">
        <v>1</v>
      </c>
      <c r="CK1032">
        <v>23</v>
      </c>
      <c r="CL1032" t="s">
        <v>87</v>
      </c>
    </row>
    <row r="1033" spans="1:90" x14ac:dyDescent="0.3">
      <c r="A1033" t="s">
        <v>72</v>
      </c>
      <c r="B1033" t="s">
        <v>73</v>
      </c>
      <c r="C1033" t="s">
        <v>74</v>
      </c>
      <c r="E1033" t="str">
        <f>"080069756266"</f>
        <v>080069756266</v>
      </c>
      <c r="F1033" s="3">
        <v>45999</v>
      </c>
      <c r="G1033">
        <v>202609</v>
      </c>
      <c r="H1033" t="s">
        <v>75</v>
      </c>
      <c r="I1033" t="s">
        <v>76</v>
      </c>
      <c r="J1033" t="s">
        <v>77</v>
      </c>
      <c r="K1033" t="s">
        <v>78</v>
      </c>
      <c r="L1033" t="s">
        <v>295</v>
      </c>
      <c r="M1033" t="s">
        <v>296</v>
      </c>
      <c r="N1033" t="s">
        <v>1363</v>
      </c>
      <c r="O1033" t="s">
        <v>89</v>
      </c>
      <c r="P1033" t="str">
        <f>"4170072395                    "</f>
        <v xml:space="preserve">4170072395                    </v>
      </c>
      <c r="Q1033">
        <v>0</v>
      </c>
      <c r="R1033">
        <v>0</v>
      </c>
      <c r="S1033">
        <v>0</v>
      </c>
      <c r="T1033">
        <v>0</v>
      </c>
      <c r="U1033">
        <v>0</v>
      </c>
      <c r="V1033">
        <v>0</v>
      </c>
      <c r="W1033">
        <v>0</v>
      </c>
      <c r="X1033">
        <v>0</v>
      </c>
      <c r="Y1033">
        <v>0</v>
      </c>
      <c r="Z1033">
        <v>0</v>
      </c>
      <c r="AA1033">
        <v>0</v>
      </c>
      <c r="AB1033">
        <v>0</v>
      </c>
      <c r="AC1033">
        <v>0</v>
      </c>
      <c r="AD1033">
        <v>0</v>
      </c>
      <c r="AE1033">
        <v>0</v>
      </c>
      <c r="AF1033">
        <v>0</v>
      </c>
      <c r="AG1033">
        <v>0</v>
      </c>
      <c r="AH1033">
        <v>0</v>
      </c>
      <c r="AI1033">
        <v>0</v>
      </c>
      <c r="AJ1033">
        <v>0</v>
      </c>
      <c r="AK1033">
        <v>0</v>
      </c>
      <c r="AL1033">
        <v>0</v>
      </c>
      <c r="AM1033">
        <v>0</v>
      </c>
      <c r="AN1033">
        <v>0</v>
      </c>
      <c r="AO1033">
        <v>0</v>
      </c>
      <c r="AP1033">
        <v>0</v>
      </c>
      <c r="AQ1033">
        <v>19.940000000000001</v>
      </c>
      <c r="AR1033">
        <v>0</v>
      </c>
      <c r="AS1033">
        <v>0</v>
      </c>
      <c r="AT1033">
        <v>0</v>
      </c>
      <c r="AU1033">
        <v>0</v>
      </c>
      <c r="AV1033">
        <v>0</v>
      </c>
      <c r="AW1033">
        <v>0</v>
      </c>
      <c r="AX1033">
        <v>0</v>
      </c>
      <c r="AY1033">
        <v>0</v>
      </c>
      <c r="AZ1033">
        <v>0</v>
      </c>
      <c r="BA1033">
        <v>0</v>
      </c>
      <c r="BB1033">
        <v>0</v>
      </c>
      <c r="BC1033">
        <v>0</v>
      </c>
      <c r="BD1033">
        <v>0</v>
      </c>
      <c r="BE1033">
        <v>0</v>
      </c>
      <c r="BF1033">
        <v>0</v>
      </c>
      <c r="BG1033">
        <v>0</v>
      </c>
      <c r="BH1033">
        <v>1</v>
      </c>
      <c r="BI1033">
        <v>1</v>
      </c>
      <c r="BJ1033">
        <v>0.2</v>
      </c>
      <c r="BK1033">
        <v>1</v>
      </c>
      <c r="BL1033">
        <v>59.42</v>
      </c>
      <c r="BM1033">
        <v>8.91</v>
      </c>
      <c r="BN1033">
        <v>68.33</v>
      </c>
      <c r="BO1033">
        <v>68.33</v>
      </c>
      <c r="BQ1033" t="s">
        <v>1364</v>
      </c>
      <c r="BR1033" t="s">
        <v>82</v>
      </c>
      <c r="BS1033" s="3">
        <v>46000</v>
      </c>
      <c r="BT1033" s="4">
        <v>0.40486111111111112</v>
      </c>
      <c r="BU1033" t="s">
        <v>1813</v>
      </c>
      <c r="BV1033" t="s">
        <v>84</v>
      </c>
      <c r="BY1033">
        <v>1200</v>
      </c>
      <c r="CA1033" t="s">
        <v>1713</v>
      </c>
      <c r="CC1033" t="s">
        <v>296</v>
      </c>
      <c r="CD1033">
        <v>1501</v>
      </c>
      <c r="CE1033" t="s">
        <v>134</v>
      </c>
      <c r="CF1033" s="3">
        <v>46001</v>
      </c>
      <c r="CI1033">
        <v>1</v>
      </c>
      <c r="CJ1033">
        <v>1</v>
      </c>
      <c r="CK1033">
        <v>22</v>
      </c>
      <c r="CL1033" t="s">
        <v>87</v>
      </c>
    </row>
    <row r="1034" spans="1:90" x14ac:dyDescent="0.3">
      <c r="A1034" t="s">
        <v>72</v>
      </c>
      <c r="B1034" t="s">
        <v>73</v>
      </c>
      <c r="C1034" t="s">
        <v>74</v>
      </c>
      <c r="E1034" t="str">
        <f>"080069756296"</f>
        <v>080069756296</v>
      </c>
      <c r="F1034" s="3">
        <v>45999</v>
      </c>
      <c r="G1034">
        <v>202609</v>
      </c>
      <c r="H1034" t="s">
        <v>75</v>
      </c>
      <c r="I1034" t="s">
        <v>76</v>
      </c>
      <c r="J1034" t="s">
        <v>77</v>
      </c>
      <c r="K1034" t="s">
        <v>78</v>
      </c>
      <c r="L1034" t="s">
        <v>128</v>
      </c>
      <c r="M1034" t="s">
        <v>129</v>
      </c>
      <c r="N1034" t="s">
        <v>183</v>
      </c>
      <c r="O1034" t="s">
        <v>89</v>
      </c>
      <c r="P1034" t="str">
        <f>"4170072462                    "</f>
        <v xml:space="preserve">4170072462                    </v>
      </c>
      <c r="Q1034">
        <v>0</v>
      </c>
      <c r="R1034">
        <v>0</v>
      </c>
      <c r="S1034">
        <v>0</v>
      </c>
      <c r="T1034">
        <v>0</v>
      </c>
      <c r="U1034">
        <v>0</v>
      </c>
      <c r="V1034">
        <v>0</v>
      </c>
      <c r="W1034">
        <v>0</v>
      </c>
      <c r="X1034">
        <v>0</v>
      </c>
      <c r="Y1034">
        <v>0</v>
      </c>
      <c r="Z1034">
        <v>0</v>
      </c>
      <c r="AA1034">
        <v>0</v>
      </c>
      <c r="AB1034">
        <v>0</v>
      </c>
      <c r="AC1034">
        <v>0</v>
      </c>
      <c r="AD1034">
        <v>0</v>
      </c>
      <c r="AE1034">
        <v>0</v>
      </c>
      <c r="AF1034">
        <v>0</v>
      </c>
      <c r="AG1034">
        <v>0</v>
      </c>
      <c r="AH1034">
        <v>0</v>
      </c>
      <c r="AI1034">
        <v>0</v>
      </c>
      <c r="AJ1034">
        <v>0</v>
      </c>
      <c r="AK1034">
        <v>0</v>
      </c>
      <c r="AL1034">
        <v>0</v>
      </c>
      <c r="AM1034">
        <v>0</v>
      </c>
      <c r="AN1034">
        <v>0</v>
      </c>
      <c r="AO1034">
        <v>0</v>
      </c>
      <c r="AP1034">
        <v>0</v>
      </c>
      <c r="AQ1034">
        <v>25.52</v>
      </c>
      <c r="AR1034">
        <v>0</v>
      </c>
      <c r="AS1034">
        <v>0</v>
      </c>
      <c r="AT1034">
        <v>0</v>
      </c>
      <c r="AU1034">
        <v>0</v>
      </c>
      <c r="AV1034">
        <v>0</v>
      </c>
      <c r="AW1034">
        <v>0</v>
      </c>
      <c r="AX1034">
        <v>0</v>
      </c>
      <c r="AY1034">
        <v>0</v>
      </c>
      <c r="AZ1034">
        <v>0</v>
      </c>
      <c r="BA1034">
        <v>0</v>
      </c>
      <c r="BB1034">
        <v>0</v>
      </c>
      <c r="BC1034">
        <v>0</v>
      </c>
      <c r="BD1034">
        <v>0</v>
      </c>
      <c r="BE1034">
        <v>0</v>
      </c>
      <c r="BF1034">
        <v>0</v>
      </c>
      <c r="BG1034">
        <v>0</v>
      </c>
      <c r="BH1034">
        <v>1</v>
      </c>
      <c r="BI1034">
        <v>1</v>
      </c>
      <c r="BJ1034">
        <v>0.2</v>
      </c>
      <c r="BK1034">
        <v>1</v>
      </c>
      <c r="BL1034">
        <v>76.06</v>
      </c>
      <c r="BM1034">
        <v>11.41</v>
      </c>
      <c r="BN1034">
        <v>87.47</v>
      </c>
      <c r="BO1034">
        <v>87.47</v>
      </c>
      <c r="BQ1034" t="s">
        <v>184</v>
      </c>
      <c r="BR1034" t="s">
        <v>82</v>
      </c>
      <c r="BS1034" s="3">
        <v>46001</v>
      </c>
      <c r="BT1034" s="4">
        <v>0.56041666666666667</v>
      </c>
      <c r="BU1034" t="s">
        <v>1705</v>
      </c>
      <c r="BV1034" t="s">
        <v>87</v>
      </c>
      <c r="BW1034" t="s">
        <v>186</v>
      </c>
      <c r="BX1034" t="s">
        <v>187</v>
      </c>
      <c r="BY1034">
        <v>1200</v>
      </c>
      <c r="CA1034" t="s">
        <v>1692</v>
      </c>
      <c r="CC1034" t="s">
        <v>129</v>
      </c>
      <c r="CD1034">
        <v>5200</v>
      </c>
      <c r="CE1034" t="s">
        <v>134</v>
      </c>
      <c r="CF1034" s="3">
        <v>46002</v>
      </c>
      <c r="CI1034">
        <v>1</v>
      </c>
      <c r="CJ1034">
        <v>2</v>
      </c>
      <c r="CK1034">
        <v>21</v>
      </c>
      <c r="CL1034" t="s">
        <v>87</v>
      </c>
    </row>
    <row r="1035" spans="1:90" x14ac:dyDescent="0.3">
      <c r="A1035" t="s">
        <v>72</v>
      </c>
      <c r="B1035" t="s">
        <v>73</v>
      </c>
      <c r="C1035" t="s">
        <v>74</v>
      </c>
      <c r="E1035" t="str">
        <f>"080069756326"</f>
        <v>080069756326</v>
      </c>
      <c r="F1035" s="3">
        <v>45999</v>
      </c>
      <c r="G1035">
        <v>202609</v>
      </c>
      <c r="H1035" t="s">
        <v>75</v>
      </c>
      <c r="I1035" t="s">
        <v>76</v>
      </c>
      <c r="J1035" t="s">
        <v>77</v>
      </c>
      <c r="K1035" t="s">
        <v>78</v>
      </c>
      <c r="L1035" t="s">
        <v>535</v>
      </c>
      <c r="M1035" t="s">
        <v>535</v>
      </c>
      <c r="N1035" t="s">
        <v>556</v>
      </c>
      <c r="O1035" t="s">
        <v>89</v>
      </c>
      <c r="P1035" t="str">
        <f>"4170072334                    "</f>
        <v xml:space="preserve">4170072334                    </v>
      </c>
      <c r="Q1035">
        <v>0</v>
      </c>
      <c r="R1035">
        <v>0</v>
      </c>
      <c r="S1035">
        <v>0</v>
      </c>
      <c r="T1035">
        <v>0</v>
      </c>
      <c r="U1035">
        <v>0</v>
      </c>
      <c r="V1035">
        <v>0</v>
      </c>
      <c r="W1035">
        <v>0</v>
      </c>
      <c r="X1035">
        <v>0</v>
      </c>
      <c r="Y1035">
        <v>0</v>
      </c>
      <c r="Z1035">
        <v>0</v>
      </c>
      <c r="AA1035">
        <v>0</v>
      </c>
      <c r="AB1035">
        <v>0</v>
      </c>
      <c r="AC1035">
        <v>0</v>
      </c>
      <c r="AD1035">
        <v>0</v>
      </c>
      <c r="AE1035">
        <v>0</v>
      </c>
      <c r="AF1035">
        <v>0</v>
      </c>
      <c r="AG1035">
        <v>0</v>
      </c>
      <c r="AH1035">
        <v>0</v>
      </c>
      <c r="AI1035">
        <v>0</v>
      </c>
      <c r="AJ1035">
        <v>0</v>
      </c>
      <c r="AK1035">
        <v>0</v>
      </c>
      <c r="AL1035">
        <v>0</v>
      </c>
      <c r="AM1035">
        <v>0</v>
      </c>
      <c r="AN1035">
        <v>0</v>
      </c>
      <c r="AO1035">
        <v>0</v>
      </c>
      <c r="AP1035">
        <v>0</v>
      </c>
      <c r="AQ1035">
        <v>49.45</v>
      </c>
      <c r="AR1035">
        <v>0</v>
      </c>
      <c r="AS1035">
        <v>0</v>
      </c>
      <c r="AT1035">
        <v>0</v>
      </c>
      <c r="AU1035">
        <v>0</v>
      </c>
      <c r="AV1035">
        <v>0</v>
      </c>
      <c r="AW1035">
        <v>0</v>
      </c>
      <c r="AX1035">
        <v>0</v>
      </c>
      <c r="AY1035">
        <v>0</v>
      </c>
      <c r="AZ1035">
        <v>0</v>
      </c>
      <c r="BA1035">
        <v>0</v>
      </c>
      <c r="BB1035">
        <v>0</v>
      </c>
      <c r="BC1035">
        <v>0</v>
      </c>
      <c r="BD1035">
        <v>0</v>
      </c>
      <c r="BE1035">
        <v>0</v>
      </c>
      <c r="BF1035">
        <v>0</v>
      </c>
      <c r="BG1035">
        <v>0</v>
      </c>
      <c r="BH1035">
        <v>1</v>
      </c>
      <c r="BI1035">
        <v>1</v>
      </c>
      <c r="BJ1035">
        <v>0.2</v>
      </c>
      <c r="BK1035">
        <v>1</v>
      </c>
      <c r="BL1035">
        <v>147.38</v>
      </c>
      <c r="BM1035">
        <v>22.11</v>
      </c>
      <c r="BN1035">
        <v>169.49</v>
      </c>
      <c r="BO1035">
        <v>169.49</v>
      </c>
      <c r="BQ1035" t="s">
        <v>557</v>
      </c>
      <c r="BR1035" t="s">
        <v>82</v>
      </c>
      <c r="BS1035" s="3">
        <v>46000</v>
      </c>
      <c r="BT1035" s="4">
        <v>0.53680555555555554</v>
      </c>
      <c r="BU1035" t="s">
        <v>558</v>
      </c>
      <c r="BV1035" t="s">
        <v>84</v>
      </c>
      <c r="BY1035">
        <v>1200</v>
      </c>
      <c r="CA1035" t="s">
        <v>539</v>
      </c>
      <c r="CC1035" t="s">
        <v>535</v>
      </c>
      <c r="CD1035">
        <v>7646</v>
      </c>
      <c r="CE1035" t="s">
        <v>134</v>
      </c>
      <c r="CF1035" s="3">
        <v>46001</v>
      </c>
      <c r="CI1035">
        <v>1</v>
      </c>
      <c r="CJ1035">
        <v>1</v>
      </c>
      <c r="CK1035">
        <v>23</v>
      </c>
      <c r="CL1035" t="s">
        <v>87</v>
      </c>
    </row>
    <row r="1036" spans="1:90" x14ac:dyDescent="0.3">
      <c r="A1036" t="s">
        <v>72</v>
      </c>
      <c r="B1036" t="s">
        <v>73</v>
      </c>
      <c r="C1036" t="s">
        <v>74</v>
      </c>
      <c r="E1036" t="str">
        <f>"080069756361"</f>
        <v>080069756361</v>
      </c>
      <c r="F1036" s="3">
        <v>45999</v>
      </c>
      <c r="G1036">
        <v>202609</v>
      </c>
      <c r="H1036" t="s">
        <v>75</v>
      </c>
      <c r="I1036" t="s">
        <v>76</v>
      </c>
      <c r="J1036" t="s">
        <v>77</v>
      </c>
      <c r="K1036" t="s">
        <v>78</v>
      </c>
      <c r="L1036" t="s">
        <v>283</v>
      </c>
      <c r="M1036" t="s">
        <v>284</v>
      </c>
      <c r="N1036" t="s">
        <v>285</v>
      </c>
      <c r="O1036" t="s">
        <v>89</v>
      </c>
      <c r="P1036" t="str">
        <f>"4170071814                    "</f>
        <v xml:space="preserve">4170071814                    </v>
      </c>
      <c r="Q1036">
        <v>0</v>
      </c>
      <c r="R1036">
        <v>0</v>
      </c>
      <c r="S1036">
        <v>0</v>
      </c>
      <c r="T1036">
        <v>0</v>
      </c>
      <c r="U1036">
        <v>0</v>
      </c>
      <c r="V1036">
        <v>0</v>
      </c>
      <c r="W1036">
        <v>0</v>
      </c>
      <c r="X1036">
        <v>0</v>
      </c>
      <c r="Y1036">
        <v>0</v>
      </c>
      <c r="Z1036">
        <v>0</v>
      </c>
      <c r="AA1036">
        <v>0</v>
      </c>
      <c r="AB1036">
        <v>0</v>
      </c>
      <c r="AC1036">
        <v>0</v>
      </c>
      <c r="AD1036">
        <v>0</v>
      </c>
      <c r="AE1036">
        <v>0</v>
      </c>
      <c r="AF1036">
        <v>0</v>
      </c>
      <c r="AG1036">
        <v>0</v>
      </c>
      <c r="AH1036">
        <v>0</v>
      </c>
      <c r="AI1036">
        <v>0</v>
      </c>
      <c r="AJ1036">
        <v>0</v>
      </c>
      <c r="AK1036">
        <v>0</v>
      </c>
      <c r="AL1036">
        <v>0</v>
      </c>
      <c r="AM1036">
        <v>0</v>
      </c>
      <c r="AN1036">
        <v>0</v>
      </c>
      <c r="AO1036">
        <v>0</v>
      </c>
      <c r="AP1036">
        <v>0</v>
      </c>
      <c r="AQ1036">
        <v>49.45</v>
      </c>
      <c r="AR1036">
        <v>0</v>
      </c>
      <c r="AS1036">
        <v>0</v>
      </c>
      <c r="AT1036">
        <v>0</v>
      </c>
      <c r="AU1036">
        <v>0</v>
      </c>
      <c r="AV1036">
        <v>0</v>
      </c>
      <c r="AW1036">
        <v>0</v>
      </c>
      <c r="AX1036">
        <v>0</v>
      </c>
      <c r="AY1036">
        <v>0</v>
      </c>
      <c r="AZ1036">
        <v>0</v>
      </c>
      <c r="BA1036">
        <v>0</v>
      </c>
      <c r="BB1036">
        <v>0</v>
      </c>
      <c r="BC1036">
        <v>0</v>
      </c>
      <c r="BD1036">
        <v>0</v>
      </c>
      <c r="BE1036">
        <v>0</v>
      </c>
      <c r="BF1036">
        <v>0</v>
      </c>
      <c r="BG1036">
        <v>0</v>
      </c>
      <c r="BH1036">
        <v>1</v>
      </c>
      <c r="BI1036">
        <v>1</v>
      </c>
      <c r="BJ1036">
        <v>0.2</v>
      </c>
      <c r="BK1036">
        <v>1</v>
      </c>
      <c r="BL1036">
        <v>147.38</v>
      </c>
      <c r="BM1036">
        <v>22.11</v>
      </c>
      <c r="BN1036">
        <v>169.49</v>
      </c>
      <c r="BO1036">
        <v>169.49</v>
      </c>
      <c r="BQ1036" t="s">
        <v>286</v>
      </c>
      <c r="BR1036" t="s">
        <v>82</v>
      </c>
      <c r="BS1036" s="3">
        <v>46000</v>
      </c>
      <c r="BT1036" s="4">
        <v>0.37291666666666667</v>
      </c>
      <c r="BU1036" t="s">
        <v>287</v>
      </c>
      <c r="BV1036" t="s">
        <v>84</v>
      </c>
      <c r="BY1036">
        <v>1200</v>
      </c>
      <c r="CA1036">
        <v>6805135560080</v>
      </c>
      <c r="CC1036" t="s">
        <v>284</v>
      </c>
      <c r="CD1036">
        <v>1947</v>
      </c>
      <c r="CE1036" t="s">
        <v>134</v>
      </c>
      <c r="CF1036" s="3">
        <v>46001</v>
      </c>
      <c r="CI1036">
        <v>1</v>
      </c>
      <c r="CJ1036">
        <v>1</v>
      </c>
      <c r="CK1036">
        <v>23</v>
      </c>
      <c r="CL1036" t="s">
        <v>87</v>
      </c>
    </row>
    <row r="1037" spans="1:90" x14ac:dyDescent="0.3">
      <c r="A1037" t="s">
        <v>72</v>
      </c>
      <c r="B1037" t="s">
        <v>73</v>
      </c>
      <c r="C1037" t="s">
        <v>74</v>
      </c>
      <c r="E1037" t="str">
        <f>"080069756408"</f>
        <v>080069756408</v>
      </c>
      <c r="F1037" s="3">
        <v>45999</v>
      </c>
      <c r="G1037">
        <v>202609</v>
      </c>
      <c r="H1037" t="s">
        <v>75</v>
      </c>
      <c r="I1037" t="s">
        <v>76</v>
      </c>
      <c r="J1037" t="s">
        <v>77</v>
      </c>
      <c r="K1037" t="s">
        <v>78</v>
      </c>
      <c r="L1037" t="s">
        <v>141</v>
      </c>
      <c r="M1037" t="s">
        <v>142</v>
      </c>
      <c r="N1037" t="s">
        <v>675</v>
      </c>
      <c r="O1037" t="s">
        <v>89</v>
      </c>
      <c r="P1037" t="str">
        <f>"4170072452                    "</f>
        <v xml:space="preserve">4170072452                    </v>
      </c>
      <c r="Q1037">
        <v>0</v>
      </c>
      <c r="R1037">
        <v>0</v>
      </c>
      <c r="S1037">
        <v>0</v>
      </c>
      <c r="T1037">
        <v>0</v>
      </c>
      <c r="U1037">
        <v>0</v>
      </c>
      <c r="V1037">
        <v>0</v>
      </c>
      <c r="W1037">
        <v>0</v>
      </c>
      <c r="X1037">
        <v>0</v>
      </c>
      <c r="Y1037">
        <v>0</v>
      </c>
      <c r="Z1037">
        <v>0</v>
      </c>
      <c r="AA1037">
        <v>0</v>
      </c>
      <c r="AB1037">
        <v>0</v>
      </c>
      <c r="AC1037">
        <v>0</v>
      </c>
      <c r="AD1037">
        <v>0</v>
      </c>
      <c r="AE1037">
        <v>0</v>
      </c>
      <c r="AF1037">
        <v>0</v>
      </c>
      <c r="AG1037">
        <v>0</v>
      </c>
      <c r="AH1037">
        <v>0</v>
      </c>
      <c r="AI1037">
        <v>0</v>
      </c>
      <c r="AJ1037">
        <v>0</v>
      </c>
      <c r="AK1037">
        <v>0</v>
      </c>
      <c r="AL1037">
        <v>0</v>
      </c>
      <c r="AM1037">
        <v>0</v>
      </c>
      <c r="AN1037">
        <v>0</v>
      </c>
      <c r="AO1037">
        <v>0</v>
      </c>
      <c r="AP1037">
        <v>0</v>
      </c>
      <c r="AQ1037">
        <v>25.52</v>
      </c>
      <c r="AR1037">
        <v>0</v>
      </c>
      <c r="AS1037">
        <v>0</v>
      </c>
      <c r="AT1037">
        <v>0</v>
      </c>
      <c r="AU1037">
        <v>0</v>
      </c>
      <c r="AV1037">
        <v>0</v>
      </c>
      <c r="AW1037">
        <v>0</v>
      </c>
      <c r="AX1037">
        <v>0</v>
      </c>
      <c r="AY1037">
        <v>0</v>
      </c>
      <c r="AZ1037">
        <v>0</v>
      </c>
      <c r="BA1037">
        <v>0</v>
      </c>
      <c r="BB1037">
        <v>0</v>
      </c>
      <c r="BC1037">
        <v>0</v>
      </c>
      <c r="BD1037">
        <v>0</v>
      </c>
      <c r="BE1037">
        <v>0</v>
      </c>
      <c r="BF1037">
        <v>0</v>
      </c>
      <c r="BG1037">
        <v>0</v>
      </c>
      <c r="BH1037">
        <v>1</v>
      </c>
      <c r="BI1037">
        <v>1</v>
      </c>
      <c r="BJ1037">
        <v>0.2</v>
      </c>
      <c r="BK1037">
        <v>1</v>
      </c>
      <c r="BL1037">
        <v>76.06</v>
      </c>
      <c r="BM1037">
        <v>11.41</v>
      </c>
      <c r="BN1037">
        <v>87.47</v>
      </c>
      <c r="BO1037">
        <v>87.47</v>
      </c>
      <c r="BQ1037" t="s">
        <v>676</v>
      </c>
      <c r="BR1037" t="s">
        <v>82</v>
      </c>
      <c r="BS1037" s="3">
        <v>46000</v>
      </c>
      <c r="BT1037" s="4">
        <v>0.43055555555555558</v>
      </c>
      <c r="BU1037" t="s">
        <v>1693</v>
      </c>
      <c r="BV1037" t="s">
        <v>84</v>
      </c>
      <c r="BY1037">
        <v>1200</v>
      </c>
      <c r="CA1037" t="s">
        <v>1228</v>
      </c>
      <c r="CC1037" t="s">
        <v>142</v>
      </c>
      <c r="CD1037">
        <v>6001</v>
      </c>
      <c r="CE1037" t="s">
        <v>134</v>
      </c>
      <c r="CF1037" s="3">
        <v>46000</v>
      </c>
      <c r="CI1037">
        <v>1</v>
      </c>
      <c r="CJ1037">
        <v>1</v>
      </c>
      <c r="CK1037">
        <v>21</v>
      </c>
      <c r="CL1037" t="s">
        <v>87</v>
      </c>
    </row>
    <row r="1038" spans="1:90" x14ac:dyDescent="0.3">
      <c r="A1038" t="s">
        <v>72</v>
      </c>
      <c r="B1038" t="s">
        <v>73</v>
      </c>
      <c r="C1038" t="s">
        <v>74</v>
      </c>
      <c r="E1038" t="str">
        <f>"080069756438"</f>
        <v>080069756438</v>
      </c>
      <c r="F1038" s="3">
        <v>45999</v>
      </c>
      <c r="G1038">
        <v>202609</v>
      </c>
      <c r="H1038" t="s">
        <v>75</v>
      </c>
      <c r="I1038" t="s">
        <v>76</v>
      </c>
      <c r="J1038" t="s">
        <v>77</v>
      </c>
      <c r="K1038" t="s">
        <v>78</v>
      </c>
      <c r="L1038" t="s">
        <v>156</v>
      </c>
      <c r="M1038" t="s">
        <v>157</v>
      </c>
      <c r="N1038" t="s">
        <v>261</v>
      </c>
      <c r="O1038" t="s">
        <v>89</v>
      </c>
      <c r="P1038" t="str">
        <f>"4170072471                    "</f>
        <v xml:space="preserve">4170072471                    </v>
      </c>
      <c r="Q1038">
        <v>0</v>
      </c>
      <c r="R1038">
        <v>0</v>
      </c>
      <c r="S1038">
        <v>0</v>
      </c>
      <c r="T1038">
        <v>0</v>
      </c>
      <c r="U1038">
        <v>0</v>
      </c>
      <c r="V1038">
        <v>0</v>
      </c>
      <c r="W1038">
        <v>0</v>
      </c>
      <c r="X1038">
        <v>0</v>
      </c>
      <c r="Y1038">
        <v>0</v>
      </c>
      <c r="Z1038">
        <v>0</v>
      </c>
      <c r="AA1038">
        <v>0</v>
      </c>
      <c r="AB1038">
        <v>0</v>
      </c>
      <c r="AC1038">
        <v>0</v>
      </c>
      <c r="AD1038">
        <v>0</v>
      </c>
      <c r="AE1038">
        <v>0</v>
      </c>
      <c r="AF1038">
        <v>0</v>
      </c>
      <c r="AG1038">
        <v>0</v>
      </c>
      <c r="AH1038">
        <v>0</v>
      </c>
      <c r="AI1038">
        <v>0</v>
      </c>
      <c r="AJ1038">
        <v>0</v>
      </c>
      <c r="AK1038">
        <v>0</v>
      </c>
      <c r="AL1038">
        <v>0</v>
      </c>
      <c r="AM1038">
        <v>0</v>
      </c>
      <c r="AN1038">
        <v>0</v>
      </c>
      <c r="AO1038">
        <v>0</v>
      </c>
      <c r="AP1038">
        <v>0</v>
      </c>
      <c r="AQ1038">
        <v>25.52</v>
      </c>
      <c r="AR1038">
        <v>0</v>
      </c>
      <c r="AS1038">
        <v>0</v>
      </c>
      <c r="AT1038">
        <v>0</v>
      </c>
      <c r="AU1038">
        <v>0</v>
      </c>
      <c r="AV1038">
        <v>0</v>
      </c>
      <c r="AW1038">
        <v>0</v>
      </c>
      <c r="AX1038">
        <v>0</v>
      </c>
      <c r="AY1038">
        <v>0</v>
      </c>
      <c r="AZ1038">
        <v>0</v>
      </c>
      <c r="BA1038">
        <v>0</v>
      </c>
      <c r="BB1038">
        <v>0</v>
      </c>
      <c r="BC1038">
        <v>0</v>
      </c>
      <c r="BD1038">
        <v>0</v>
      </c>
      <c r="BE1038">
        <v>0</v>
      </c>
      <c r="BF1038">
        <v>0</v>
      </c>
      <c r="BG1038">
        <v>0</v>
      </c>
      <c r="BH1038">
        <v>1</v>
      </c>
      <c r="BI1038">
        <v>1</v>
      </c>
      <c r="BJ1038">
        <v>0.2</v>
      </c>
      <c r="BK1038">
        <v>1</v>
      </c>
      <c r="BL1038">
        <v>76.06</v>
      </c>
      <c r="BM1038">
        <v>11.41</v>
      </c>
      <c r="BN1038">
        <v>87.47</v>
      </c>
      <c r="BO1038">
        <v>87.47</v>
      </c>
      <c r="BQ1038" t="s">
        <v>262</v>
      </c>
      <c r="BR1038" t="s">
        <v>82</v>
      </c>
      <c r="BS1038" s="3">
        <v>46000</v>
      </c>
      <c r="BT1038" s="4">
        <v>0.40069444444444446</v>
      </c>
      <c r="BU1038" t="s">
        <v>1130</v>
      </c>
      <c r="BV1038" t="s">
        <v>84</v>
      </c>
      <c r="BY1038">
        <v>1200</v>
      </c>
      <c r="CA1038" t="s">
        <v>264</v>
      </c>
      <c r="CC1038" t="s">
        <v>157</v>
      </c>
      <c r="CD1038">
        <v>7441</v>
      </c>
      <c r="CE1038" t="s">
        <v>134</v>
      </c>
      <c r="CF1038" s="3">
        <v>46001</v>
      </c>
      <c r="CI1038">
        <v>1</v>
      </c>
      <c r="CJ1038">
        <v>1</v>
      </c>
      <c r="CK1038">
        <v>21</v>
      </c>
      <c r="CL1038" t="s">
        <v>87</v>
      </c>
    </row>
    <row r="1039" spans="1:90" x14ac:dyDescent="0.3">
      <c r="A1039" t="s">
        <v>72</v>
      </c>
      <c r="B1039" t="s">
        <v>73</v>
      </c>
      <c r="C1039" t="s">
        <v>74</v>
      </c>
      <c r="E1039" t="str">
        <f>"080069756501"</f>
        <v>080069756501</v>
      </c>
      <c r="F1039" s="3">
        <v>45999</v>
      </c>
      <c r="G1039">
        <v>202609</v>
      </c>
      <c r="H1039" t="s">
        <v>75</v>
      </c>
      <c r="I1039" t="s">
        <v>76</v>
      </c>
      <c r="J1039" t="s">
        <v>77</v>
      </c>
      <c r="K1039" t="s">
        <v>78</v>
      </c>
      <c r="L1039" t="s">
        <v>75</v>
      </c>
      <c r="M1039" t="s">
        <v>76</v>
      </c>
      <c r="N1039" t="s">
        <v>871</v>
      </c>
      <c r="O1039" t="s">
        <v>89</v>
      </c>
      <c r="P1039" t="str">
        <f>"4170072349                    "</f>
        <v xml:space="preserve">4170072349                    </v>
      </c>
      <c r="Q1039">
        <v>0</v>
      </c>
      <c r="R1039">
        <v>0</v>
      </c>
      <c r="S1039">
        <v>0</v>
      </c>
      <c r="T1039">
        <v>0</v>
      </c>
      <c r="U1039">
        <v>0</v>
      </c>
      <c r="V1039">
        <v>0</v>
      </c>
      <c r="W1039">
        <v>0</v>
      </c>
      <c r="X1039">
        <v>0</v>
      </c>
      <c r="Y1039">
        <v>0</v>
      </c>
      <c r="Z1039">
        <v>0</v>
      </c>
      <c r="AA1039">
        <v>0</v>
      </c>
      <c r="AB1039">
        <v>0</v>
      </c>
      <c r="AC1039">
        <v>0</v>
      </c>
      <c r="AD1039">
        <v>0</v>
      </c>
      <c r="AE1039">
        <v>0</v>
      </c>
      <c r="AF1039">
        <v>0</v>
      </c>
      <c r="AG1039">
        <v>0</v>
      </c>
      <c r="AH1039">
        <v>0</v>
      </c>
      <c r="AI1039">
        <v>0</v>
      </c>
      <c r="AJ1039">
        <v>0</v>
      </c>
      <c r="AK1039">
        <v>0</v>
      </c>
      <c r="AL1039">
        <v>0</v>
      </c>
      <c r="AM1039">
        <v>0</v>
      </c>
      <c r="AN1039">
        <v>0</v>
      </c>
      <c r="AO1039">
        <v>0</v>
      </c>
      <c r="AP1039">
        <v>0</v>
      </c>
      <c r="AQ1039">
        <v>19.940000000000001</v>
      </c>
      <c r="AR1039">
        <v>0</v>
      </c>
      <c r="AS1039">
        <v>0</v>
      </c>
      <c r="AT1039">
        <v>0</v>
      </c>
      <c r="AU1039">
        <v>0</v>
      </c>
      <c r="AV1039">
        <v>0</v>
      </c>
      <c r="AW1039">
        <v>0</v>
      </c>
      <c r="AX1039">
        <v>0</v>
      </c>
      <c r="AY1039">
        <v>0</v>
      </c>
      <c r="AZ1039">
        <v>0</v>
      </c>
      <c r="BA1039">
        <v>0</v>
      </c>
      <c r="BB1039">
        <v>0</v>
      </c>
      <c r="BC1039">
        <v>0</v>
      </c>
      <c r="BD1039">
        <v>0</v>
      </c>
      <c r="BE1039">
        <v>0</v>
      </c>
      <c r="BF1039">
        <v>0</v>
      </c>
      <c r="BG1039">
        <v>0</v>
      </c>
      <c r="BH1039">
        <v>1</v>
      </c>
      <c r="BI1039">
        <v>1</v>
      </c>
      <c r="BJ1039">
        <v>0.2</v>
      </c>
      <c r="BK1039">
        <v>1</v>
      </c>
      <c r="BL1039">
        <v>59.42</v>
      </c>
      <c r="BM1039">
        <v>8.91</v>
      </c>
      <c r="BN1039">
        <v>68.33</v>
      </c>
      <c r="BO1039">
        <v>68.33</v>
      </c>
      <c r="BQ1039" t="s">
        <v>872</v>
      </c>
      <c r="BR1039" t="s">
        <v>82</v>
      </c>
      <c r="BS1039" s="3">
        <v>46000</v>
      </c>
      <c r="BT1039" s="4">
        <v>0.41111111111111109</v>
      </c>
      <c r="BU1039" t="s">
        <v>1210</v>
      </c>
      <c r="BV1039" t="s">
        <v>84</v>
      </c>
      <c r="BY1039">
        <v>1200</v>
      </c>
      <c r="CA1039" t="s">
        <v>92</v>
      </c>
      <c r="CC1039" t="s">
        <v>76</v>
      </c>
      <c r="CD1039">
        <v>1618</v>
      </c>
      <c r="CE1039" t="s">
        <v>134</v>
      </c>
      <c r="CF1039" s="3">
        <v>46001</v>
      </c>
      <c r="CI1039">
        <v>1</v>
      </c>
      <c r="CJ1039">
        <v>1</v>
      </c>
      <c r="CK1039">
        <v>22</v>
      </c>
      <c r="CL1039" t="s">
        <v>87</v>
      </c>
    </row>
    <row r="1040" spans="1:90" x14ac:dyDescent="0.3">
      <c r="A1040" t="s">
        <v>72</v>
      </c>
      <c r="B1040" t="s">
        <v>73</v>
      </c>
      <c r="C1040" t="s">
        <v>74</v>
      </c>
      <c r="E1040" t="str">
        <f>"080069756514"</f>
        <v>080069756514</v>
      </c>
      <c r="F1040" s="3">
        <v>45999</v>
      </c>
      <c r="G1040">
        <v>202609</v>
      </c>
      <c r="H1040" t="s">
        <v>75</v>
      </c>
      <c r="I1040" t="s">
        <v>76</v>
      </c>
      <c r="J1040" t="s">
        <v>77</v>
      </c>
      <c r="K1040" t="s">
        <v>78</v>
      </c>
      <c r="L1040" t="s">
        <v>692</v>
      </c>
      <c r="M1040" t="s">
        <v>693</v>
      </c>
      <c r="N1040" t="s">
        <v>694</v>
      </c>
      <c r="O1040" t="s">
        <v>89</v>
      </c>
      <c r="P1040" t="str">
        <f>"4170072403                    "</f>
        <v xml:space="preserve">4170072403                    </v>
      </c>
      <c r="Q1040">
        <v>0</v>
      </c>
      <c r="R1040">
        <v>0</v>
      </c>
      <c r="S1040">
        <v>0</v>
      </c>
      <c r="T1040">
        <v>0</v>
      </c>
      <c r="U1040">
        <v>0</v>
      </c>
      <c r="V1040">
        <v>0</v>
      </c>
      <c r="W1040">
        <v>0</v>
      </c>
      <c r="X1040">
        <v>0</v>
      </c>
      <c r="Y1040">
        <v>0</v>
      </c>
      <c r="Z1040">
        <v>0</v>
      </c>
      <c r="AA1040">
        <v>0</v>
      </c>
      <c r="AB1040">
        <v>0</v>
      </c>
      <c r="AC1040">
        <v>0</v>
      </c>
      <c r="AD1040">
        <v>0</v>
      </c>
      <c r="AE1040">
        <v>0</v>
      </c>
      <c r="AF1040">
        <v>0</v>
      </c>
      <c r="AG1040">
        <v>0</v>
      </c>
      <c r="AH1040">
        <v>0</v>
      </c>
      <c r="AI1040">
        <v>0</v>
      </c>
      <c r="AJ1040">
        <v>0</v>
      </c>
      <c r="AK1040">
        <v>0</v>
      </c>
      <c r="AL1040">
        <v>0</v>
      </c>
      <c r="AM1040">
        <v>0</v>
      </c>
      <c r="AN1040">
        <v>0</v>
      </c>
      <c r="AO1040">
        <v>0</v>
      </c>
      <c r="AP1040">
        <v>0</v>
      </c>
      <c r="AQ1040">
        <v>35.9</v>
      </c>
      <c r="AR1040">
        <v>0</v>
      </c>
      <c r="AS1040">
        <v>0</v>
      </c>
      <c r="AT1040">
        <v>0</v>
      </c>
      <c r="AU1040">
        <v>0</v>
      </c>
      <c r="AV1040">
        <v>0</v>
      </c>
      <c r="AW1040">
        <v>0</v>
      </c>
      <c r="AX1040">
        <v>0</v>
      </c>
      <c r="AY1040">
        <v>0</v>
      </c>
      <c r="AZ1040">
        <v>0</v>
      </c>
      <c r="BA1040">
        <v>0</v>
      </c>
      <c r="BB1040">
        <v>0</v>
      </c>
      <c r="BC1040">
        <v>0</v>
      </c>
      <c r="BD1040">
        <v>0</v>
      </c>
      <c r="BE1040">
        <v>0</v>
      </c>
      <c r="BF1040">
        <v>0</v>
      </c>
      <c r="BG1040">
        <v>0</v>
      </c>
      <c r="BH1040">
        <v>1</v>
      </c>
      <c r="BI1040">
        <v>1</v>
      </c>
      <c r="BJ1040">
        <v>0.2</v>
      </c>
      <c r="BK1040">
        <v>1</v>
      </c>
      <c r="BL1040">
        <v>106.98</v>
      </c>
      <c r="BM1040">
        <v>16.05</v>
      </c>
      <c r="BN1040">
        <v>123.03</v>
      </c>
      <c r="BO1040">
        <v>123.03</v>
      </c>
      <c r="BQ1040" t="s">
        <v>695</v>
      </c>
      <c r="BR1040" t="s">
        <v>82</v>
      </c>
      <c r="BS1040" s="3">
        <v>46000</v>
      </c>
      <c r="BT1040" s="4">
        <v>0.44791666666666669</v>
      </c>
      <c r="BU1040" t="s">
        <v>1742</v>
      </c>
      <c r="BV1040" t="s">
        <v>84</v>
      </c>
      <c r="BY1040">
        <v>1200</v>
      </c>
      <c r="CA1040" t="s">
        <v>697</v>
      </c>
      <c r="CC1040" t="s">
        <v>693</v>
      </c>
      <c r="CD1040">
        <v>1759</v>
      </c>
      <c r="CE1040" t="s">
        <v>134</v>
      </c>
      <c r="CF1040" s="3">
        <v>46001</v>
      </c>
      <c r="CI1040">
        <v>1</v>
      </c>
      <c r="CJ1040">
        <v>1</v>
      </c>
      <c r="CK1040">
        <v>24</v>
      </c>
      <c r="CL1040" t="s">
        <v>87</v>
      </c>
    </row>
    <row r="1041" spans="1:90" x14ac:dyDescent="0.3">
      <c r="A1041" t="s">
        <v>72</v>
      </c>
      <c r="B1041" t="s">
        <v>73</v>
      </c>
      <c r="C1041" t="s">
        <v>74</v>
      </c>
      <c r="E1041" t="str">
        <f>"080069756561"</f>
        <v>080069756561</v>
      </c>
      <c r="F1041" s="3">
        <v>45999</v>
      </c>
      <c r="G1041">
        <v>202609</v>
      </c>
      <c r="H1041" t="s">
        <v>75</v>
      </c>
      <c r="I1041" t="s">
        <v>76</v>
      </c>
      <c r="J1041" t="s">
        <v>77</v>
      </c>
      <c r="K1041" t="s">
        <v>78</v>
      </c>
      <c r="L1041" t="s">
        <v>75</v>
      </c>
      <c r="M1041" t="s">
        <v>76</v>
      </c>
      <c r="N1041" t="s">
        <v>1814</v>
      </c>
      <c r="O1041" t="s">
        <v>89</v>
      </c>
      <c r="P1041" t="str">
        <f>"4170072498                    "</f>
        <v xml:space="preserve">4170072498                    </v>
      </c>
      <c r="Q1041">
        <v>0</v>
      </c>
      <c r="R1041">
        <v>0</v>
      </c>
      <c r="S1041">
        <v>0</v>
      </c>
      <c r="T1041">
        <v>0</v>
      </c>
      <c r="U1041">
        <v>0</v>
      </c>
      <c r="V1041">
        <v>0</v>
      </c>
      <c r="W1041">
        <v>0</v>
      </c>
      <c r="X1041">
        <v>0</v>
      </c>
      <c r="Y1041">
        <v>0</v>
      </c>
      <c r="Z1041">
        <v>0</v>
      </c>
      <c r="AA1041">
        <v>0</v>
      </c>
      <c r="AB1041">
        <v>0</v>
      </c>
      <c r="AC1041">
        <v>0</v>
      </c>
      <c r="AD1041">
        <v>0</v>
      </c>
      <c r="AE1041">
        <v>0</v>
      </c>
      <c r="AF1041">
        <v>0</v>
      </c>
      <c r="AG1041">
        <v>0</v>
      </c>
      <c r="AH1041">
        <v>0</v>
      </c>
      <c r="AI1041">
        <v>0</v>
      </c>
      <c r="AJ1041">
        <v>0</v>
      </c>
      <c r="AK1041">
        <v>0</v>
      </c>
      <c r="AL1041">
        <v>0</v>
      </c>
      <c r="AM1041">
        <v>0</v>
      </c>
      <c r="AN1041">
        <v>0</v>
      </c>
      <c r="AO1041">
        <v>0</v>
      </c>
      <c r="AP1041">
        <v>0</v>
      </c>
      <c r="AQ1041">
        <v>19.940000000000001</v>
      </c>
      <c r="AR1041">
        <v>0</v>
      </c>
      <c r="AS1041">
        <v>0</v>
      </c>
      <c r="AT1041">
        <v>0</v>
      </c>
      <c r="AU1041">
        <v>0</v>
      </c>
      <c r="AV1041">
        <v>0</v>
      </c>
      <c r="AW1041">
        <v>0</v>
      </c>
      <c r="AX1041">
        <v>0</v>
      </c>
      <c r="AY1041">
        <v>0</v>
      </c>
      <c r="AZ1041">
        <v>0</v>
      </c>
      <c r="BA1041">
        <v>0</v>
      </c>
      <c r="BB1041">
        <v>0</v>
      </c>
      <c r="BC1041">
        <v>0</v>
      </c>
      <c r="BD1041">
        <v>0</v>
      </c>
      <c r="BE1041">
        <v>0</v>
      </c>
      <c r="BF1041">
        <v>0</v>
      </c>
      <c r="BG1041">
        <v>0</v>
      </c>
      <c r="BH1041">
        <v>1</v>
      </c>
      <c r="BI1041">
        <v>1</v>
      </c>
      <c r="BJ1041">
        <v>0.2</v>
      </c>
      <c r="BK1041">
        <v>1</v>
      </c>
      <c r="BL1041">
        <v>59.42</v>
      </c>
      <c r="BM1041">
        <v>8.91</v>
      </c>
      <c r="BN1041">
        <v>68.33</v>
      </c>
      <c r="BO1041">
        <v>68.33</v>
      </c>
      <c r="BQ1041" t="s">
        <v>1815</v>
      </c>
      <c r="BR1041" t="s">
        <v>82</v>
      </c>
      <c r="BS1041" s="3">
        <v>46000</v>
      </c>
      <c r="BT1041" s="4">
        <v>0.33333333333333331</v>
      </c>
      <c r="BU1041" t="s">
        <v>1816</v>
      </c>
      <c r="BV1041" t="s">
        <v>84</v>
      </c>
      <c r="BY1041">
        <v>1200</v>
      </c>
      <c r="CA1041" t="s">
        <v>92</v>
      </c>
      <c r="CC1041" t="s">
        <v>76</v>
      </c>
      <c r="CD1041">
        <v>1600</v>
      </c>
      <c r="CE1041" t="s">
        <v>134</v>
      </c>
      <c r="CF1041" s="3">
        <v>46001</v>
      </c>
      <c r="CI1041">
        <v>1</v>
      </c>
      <c r="CJ1041">
        <v>1</v>
      </c>
      <c r="CK1041">
        <v>22</v>
      </c>
      <c r="CL1041" t="s">
        <v>87</v>
      </c>
    </row>
    <row r="1042" spans="1:90" x14ac:dyDescent="0.3">
      <c r="A1042" t="s">
        <v>72</v>
      </c>
      <c r="B1042" t="s">
        <v>73</v>
      </c>
      <c r="C1042" t="s">
        <v>74</v>
      </c>
      <c r="E1042" t="str">
        <f>"080069756601"</f>
        <v>080069756601</v>
      </c>
      <c r="F1042" s="3">
        <v>45999</v>
      </c>
      <c r="G1042">
        <v>202609</v>
      </c>
      <c r="H1042" t="s">
        <v>75</v>
      </c>
      <c r="I1042" t="s">
        <v>76</v>
      </c>
      <c r="J1042" t="s">
        <v>77</v>
      </c>
      <c r="K1042" t="s">
        <v>78</v>
      </c>
      <c r="L1042" t="s">
        <v>502</v>
      </c>
      <c r="M1042" t="s">
        <v>503</v>
      </c>
      <c r="N1042" t="s">
        <v>678</v>
      </c>
      <c r="O1042" t="s">
        <v>89</v>
      </c>
      <c r="P1042" t="str">
        <f>"4170072399                    "</f>
        <v xml:space="preserve">4170072399                    </v>
      </c>
      <c r="Q1042">
        <v>0</v>
      </c>
      <c r="R1042">
        <v>0</v>
      </c>
      <c r="S1042">
        <v>0</v>
      </c>
      <c r="T1042">
        <v>0</v>
      </c>
      <c r="U1042">
        <v>0</v>
      </c>
      <c r="V1042">
        <v>0</v>
      </c>
      <c r="W1042">
        <v>0</v>
      </c>
      <c r="X1042">
        <v>0</v>
      </c>
      <c r="Y1042">
        <v>0</v>
      </c>
      <c r="Z1042">
        <v>0</v>
      </c>
      <c r="AA1042">
        <v>0</v>
      </c>
      <c r="AB1042">
        <v>0</v>
      </c>
      <c r="AC1042">
        <v>0</v>
      </c>
      <c r="AD1042">
        <v>0</v>
      </c>
      <c r="AE1042">
        <v>0</v>
      </c>
      <c r="AF1042">
        <v>0</v>
      </c>
      <c r="AG1042">
        <v>0</v>
      </c>
      <c r="AH1042">
        <v>0</v>
      </c>
      <c r="AI1042">
        <v>0</v>
      </c>
      <c r="AJ1042">
        <v>0</v>
      </c>
      <c r="AK1042">
        <v>0</v>
      </c>
      <c r="AL1042">
        <v>0</v>
      </c>
      <c r="AM1042">
        <v>0</v>
      </c>
      <c r="AN1042">
        <v>0</v>
      </c>
      <c r="AO1042">
        <v>0</v>
      </c>
      <c r="AP1042">
        <v>0</v>
      </c>
      <c r="AQ1042">
        <v>19.940000000000001</v>
      </c>
      <c r="AR1042">
        <v>0</v>
      </c>
      <c r="AS1042">
        <v>0</v>
      </c>
      <c r="AT1042">
        <v>0</v>
      </c>
      <c r="AU1042">
        <v>0</v>
      </c>
      <c r="AV1042">
        <v>0</v>
      </c>
      <c r="AW1042">
        <v>0</v>
      </c>
      <c r="AX1042">
        <v>0</v>
      </c>
      <c r="AY1042">
        <v>0</v>
      </c>
      <c r="AZ1042">
        <v>0</v>
      </c>
      <c r="BA1042">
        <v>0</v>
      </c>
      <c r="BB1042">
        <v>0</v>
      </c>
      <c r="BC1042">
        <v>0</v>
      </c>
      <c r="BD1042">
        <v>0</v>
      </c>
      <c r="BE1042">
        <v>0</v>
      </c>
      <c r="BF1042">
        <v>0</v>
      </c>
      <c r="BG1042">
        <v>0</v>
      </c>
      <c r="BH1042">
        <v>1</v>
      </c>
      <c r="BI1042">
        <v>1</v>
      </c>
      <c r="BJ1042">
        <v>0.2</v>
      </c>
      <c r="BK1042">
        <v>1</v>
      </c>
      <c r="BL1042">
        <v>59.42</v>
      </c>
      <c r="BM1042">
        <v>8.91</v>
      </c>
      <c r="BN1042">
        <v>68.33</v>
      </c>
      <c r="BO1042">
        <v>68.33</v>
      </c>
      <c r="BQ1042" t="s">
        <v>679</v>
      </c>
      <c r="BR1042" t="s">
        <v>82</v>
      </c>
      <c r="BS1042" s="3">
        <v>46000</v>
      </c>
      <c r="BT1042" s="4">
        <v>0.52152777777777781</v>
      </c>
      <c r="BU1042" t="s">
        <v>1433</v>
      </c>
      <c r="BV1042" t="s">
        <v>84</v>
      </c>
      <c r="BY1042">
        <v>1200</v>
      </c>
      <c r="CA1042" t="s">
        <v>507</v>
      </c>
      <c r="CC1042" t="s">
        <v>503</v>
      </c>
      <c r="CD1042">
        <v>1559</v>
      </c>
      <c r="CE1042" t="s">
        <v>134</v>
      </c>
      <c r="CF1042" s="3">
        <v>46000</v>
      </c>
      <c r="CI1042">
        <v>1</v>
      </c>
      <c r="CJ1042">
        <v>1</v>
      </c>
      <c r="CK1042">
        <v>22</v>
      </c>
      <c r="CL1042" t="s">
        <v>87</v>
      </c>
    </row>
    <row r="1043" spans="1:90" x14ac:dyDescent="0.3">
      <c r="A1043" t="s">
        <v>72</v>
      </c>
      <c r="B1043" t="s">
        <v>73</v>
      </c>
      <c r="C1043" t="s">
        <v>74</v>
      </c>
      <c r="E1043" t="str">
        <f>"080069756634"</f>
        <v>080069756634</v>
      </c>
      <c r="F1043" s="3">
        <v>45999</v>
      </c>
      <c r="G1043">
        <v>202609</v>
      </c>
      <c r="H1043" t="s">
        <v>75</v>
      </c>
      <c r="I1043" t="s">
        <v>76</v>
      </c>
      <c r="J1043" t="s">
        <v>77</v>
      </c>
      <c r="K1043" t="s">
        <v>78</v>
      </c>
      <c r="L1043" t="s">
        <v>389</v>
      </c>
      <c r="M1043" t="s">
        <v>390</v>
      </c>
      <c r="N1043" t="s">
        <v>581</v>
      </c>
      <c r="O1043" t="s">
        <v>89</v>
      </c>
      <c r="P1043" t="str">
        <f>"4170072344                    "</f>
        <v xml:space="preserve">4170072344                    </v>
      </c>
      <c r="Q1043">
        <v>0</v>
      </c>
      <c r="R1043">
        <v>0</v>
      </c>
      <c r="S1043">
        <v>0</v>
      </c>
      <c r="T1043">
        <v>0</v>
      </c>
      <c r="U1043">
        <v>0</v>
      </c>
      <c r="V1043">
        <v>0</v>
      </c>
      <c r="W1043">
        <v>0</v>
      </c>
      <c r="X1043">
        <v>0</v>
      </c>
      <c r="Y1043">
        <v>0</v>
      </c>
      <c r="Z1043">
        <v>0</v>
      </c>
      <c r="AA1043">
        <v>0</v>
      </c>
      <c r="AB1043">
        <v>0</v>
      </c>
      <c r="AC1043">
        <v>0</v>
      </c>
      <c r="AD1043">
        <v>0</v>
      </c>
      <c r="AE1043">
        <v>0</v>
      </c>
      <c r="AF1043">
        <v>0</v>
      </c>
      <c r="AG1043">
        <v>0</v>
      </c>
      <c r="AH1043">
        <v>0</v>
      </c>
      <c r="AI1043">
        <v>0</v>
      </c>
      <c r="AJ1043">
        <v>0</v>
      </c>
      <c r="AK1043">
        <v>0</v>
      </c>
      <c r="AL1043">
        <v>0</v>
      </c>
      <c r="AM1043">
        <v>0</v>
      </c>
      <c r="AN1043">
        <v>0</v>
      </c>
      <c r="AO1043">
        <v>0</v>
      </c>
      <c r="AP1043">
        <v>0</v>
      </c>
      <c r="AQ1043">
        <v>49.45</v>
      </c>
      <c r="AR1043">
        <v>0</v>
      </c>
      <c r="AS1043">
        <v>0</v>
      </c>
      <c r="AT1043">
        <v>0</v>
      </c>
      <c r="AU1043">
        <v>0</v>
      </c>
      <c r="AV1043">
        <v>0</v>
      </c>
      <c r="AW1043">
        <v>0</v>
      </c>
      <c r="AX1043">
        <v>0</v>
      </c>
      <c r="AY1043">
        <v>0</v>
      </c>
      <c r="AZ1043">
        <v>0</v>
      </c>
      <c r="BA1043">
        <v>0</v>
      </c>
      <c r="BB1043">
        <v>0</v>
      </c>
      <c r="BC1043">
        <v>0</v>
      </c>
      <c r="BD1043">
        <v>0</v>
      </c>
      <c r="BE1043">
        <v>0</v>
      </c>
      <c r="BF1043">
        <v>0</v>
      </c>
      <c r="BG1043">
        <v>0</v>
      </c>
      <c r="BH1043">
        <v>1</v>
      </c>
      <c r="BI1043">
        <v>1</v>
      </c>
      <c r="BJ1043">
        <v>0.2</v>
      </c>
      <c r="BK1043">
        <v>1</v>
      </c>
      <c r="BL1043">
        <v>147.38</v>
      </c>
      <c r="BM1043">
        <v>22.11</v>
      </c>
      <c r="BN1043">
        <v>169.49</v>
      </c>
      <c r="BO1043">
        <v>169.49</v>
      </c>
      <c r="BQ1043" t="s">
        <v>582</v>
      </c>
      <c r="BR1043" t="s">
        <v>82</v>
      </c>
      <c r="BS1043" s="3">
        <v>46000</v>
      </c>
      <c r="BT1043" s="4">
        <v>0.42499999999999999</v>
      </c>
      <c r="BU1043" t="s">
        <v>1724</v>
      </c>
      <c r="BV1043" t="s">
        <v>84</v>
      </c>
      <c r="BY1043">
        <v>1200</v>
      </c>
      <c r="CA1043">
        <v>7601035402088</v>
      </c>
      <c r="CC1043" t="s">
        <v>390</v>
      </c>
      <c r="CD1043" s="5" t="s">
        <v>395</v>
      </c>
      <c r="CE1043" t="s">
        <v>134</v>
      </c>
      <c r="CF1043" s="3">
        <v>46002</v>
      </c>
      <c r="CI1043">
        <v>1</v>
      </c>
      <c r="CJ1043">
        <v>1</v>
      </c>
      <c r="CK1043">
        <v>23</v>
      </c>
      <c r="CL1043" t="s">
        <v>87</v>
      </c>
    </row>
    <row r="1044" spans="1:90" x14ac:dyDescent="0.3">
      <c r="A1044" t="s">
        <v>72</v>
      </c>
      <c r="B1044" t="s">
        <v>73</v>
      </c>
      <c r="C1044" t="s">
        <v>74</v>
      </c>
      <c r="E1044" t="str">
        <f>"080069756677"</f>
        <v>080069756677</v>
      </c>
      <c r="F1044" s="3">
        <v>45999</v>
      </c>
      <c r="G1044">
        <v>202609</v>
      </c>
      <c r="H1044" t="s">
        <v>75</v>
      </c>
      <c r="I1044" t="s">
        <v>76</v>
      </c>
      <c r="J1044" t="s">
        <v>77</v>
      </c>
      <c r="K1044" t="s">
        <v>78</v>
      </c>
      <c r="L1044" t="s">
        <v>141</v>
      </c>
      <c r="M1044" t="s">
        <v>142</v>
      </c>
      <c r="N1044" t="s">
        <v>143</v>
      </c>
      <c r="O1044" t="s">
        <v>89</v>
      </c>
      <c r="P1044" t="str">
        <f>"4170072353                    "</f>
        <v xml:space="preserve">4170072353                    </v>
      </c>
      <c r="Q1044">
        <v>0</v>
      </c>
      <c r="R1044">
        <v>0</v>
      </c>
      <c r="S1044">
        <v>0</v>
      </c>
      <c r="T1044">
        <v>0</v>
      </c>
      <c r="U1044">
        <v>0</v>
      </c>
      <c r="V1044">
        <v>0</v>
      </c>
      <c r="W1044">
        <v>0</v>
      </c>
      <c r="X1044">
        <v>0</v>
      </c>
      <c r="Y1044">
        <v>0</v>
      </c>
      <c r="Z1044">
        <v>0</v>
      </c>
      <c r="AA1044">
        <v>0</v>
      </c>
      <c r="AB1044">
        <v>0</v>
      </c>
      <c r="AC1044">
        <v>0</v>
      </c>
      <c r="AD1044">
        <v>0</v>
      </c>
      <c r="AE1044">
        <v>0</v>
      </c>
      <c r="AF1044">
        <v>0</v>
      </c>
      <c r="AG1044">
        <v>0</v>
      </c>
      <c r="AH1044">
        <v>0</v>
      </c>
      <c r="AI1044">
        <v>0</v>
      </c>
      <c r="AJ1044">
        <v>0</v>
      </c>
      <c r="AK1044">
        <v>0</v>
      </c>
      <c r="AL1044">
        <v>0</v>
      </c>
      <c r="AM1044">
        <v>0</v>
      </c>
      <c r="AN1044">
        <v>0</v>
      </c>
      <c r="AO1044">
        <v>0</v>
      </c>
      <c r="AP1044">
        <v>0</v>
      </c>
      <c r="AQ1044">
        <v>25.52</v>
      </c>
      <c r="AR1044">
        <v>0</v>
      </c>
      <c r="AS1044">
        <v>0</v>
      </c>
      <c r="AT1044">
        <v>0</v>
      </c>
      <c r="AU1044">
        <v>0</v>
      </c>
      <c r="AV1044">
        <v>0</v>
      </c>
      <c r="AW1044">
        <v>0</v>
      </c>
      <c r="AX1044">
        <v>0</v>
      </c>
      <c r="AY1044">
        <v>0</v>
      </c>
      <c r="AZ1044">
        <v>0</v>
      </c>
      <c r="BA1044">
        <v>0</v>
      </c>
      <c r="BB1044">
        <v>0</v>
      </c>
      <c r="BC1044">
        <v>0</v>
      </c>
      <c r="BD1044">
        <v>0</v>
      </c>
      <c r="BE1044">
        <v>0</v>
      </c>
      <c r="BF1044">
        <v>0</v>
      </c>
      <c r="BG1044">
        <v>0</v>
      </c>
      <c r="BH1044">
        <v>1</v>
      </c>
      <c r="BI1044">
        <v>1</v>
      </c>
      <c r="BJ1044">
        <v>0.2</v>
      </c>
      <c r="BK1044">
        <v>1</v>
      </c>
      <c r="BL1044">
        <v>76.06</v>
      </c>
      <c r="BM1044">
        <v>11.41</v>
      </c>
      <c r="BN1044">
        <v>87.47</v>
      </c>
      <c r="BO1044">
        <v>87.47</v>
      </c>
      <c r="BQ1044" t="s">
        <v>144</v>
      </c>
      <c r="BR1044" t="s">
        <v>82</v>
      </c>
      <c r="BS1044" s="3">
        <v>46000</v>
      </c>
      <c r="BT1044" s="4">
        <v>0.40625</v>
      </c>
      <c r="BU1044" t="s">
        <v>1682</v>
      </c>
      <c r="BV1044" t="s">
        <v>84</v>
      </c>
      <c r="BY1044">
        <v>1200</v>
      </c>
      <c r="CA1044" t="s">
        <v>1228</v>
      </c>
      <c r="CC1044" t="s">
        <v>142</v>
      </c>
      <c r="CD1044">
        <v>6001</v>
      </c>
      <c r="CE1044" t="s">
        <v>134</v>
      </c>
      <c r="CF1044" s="3">
        <v>46000</v>
      </c>
      <c r="CI1044">
        <v>1</v>
      </c>
      <c r="CJ1044">
        <v>1</v>
      </c>
      <c r="CK1044">
        <v>21</v>
      </c>
      <c r="CL1044" t="s">
        <v>87</v>
      </c>
    </row>
    <row r="1045" spans="1:90" x14ac:dyDescent="0.3">
      <c r="A1045" t="s">
        <v>72</v>
      </c>
      <c r="B1045" t="s">
        <v>73</v>
      </c>
      <c r="C1045" t="s">
        <v>74</v>
      </c>
      <c r="E1045" t="str">
        <f>"080069756730"</f>
        <v>080069756730</v>
      </c>
      <c r="F1045" s="3">
        <v>45999</v>
      </c>
      <c r="G1045">
        <v>202609</v>
      </c>
      <c r="H1045" t="s">
        <v>75</v>
      </c>
      <c r="I1045" t="s">
        <v>76</v>
      </c>
      <c r="J1045" t="s">
        <v>77</v>
      </c>
      <c r="K1045" t="s">
        <v>78</v>
      </c>
      <c r="L1045" t="s">
        <v>156</v>
      </c>
      <c r="M1045" t="s">
        <v>157</v>
      </c>
      <c r="N1045" t="s">
        <v>443</v>
      </c>
      <c r="O1045" t="s">
        <v>89</v>
      </c>
      <c r="P1045" t="str">
        <f>"4170072402                    "</f>
        <v xml:space="preserve">4170072402                    </v>
      </c>
      <c r="Q1045">
        <v>0</v>
      </c>
      <c r="R1045">
        <v>0</v>
      </c>
      <c r="S1045">
        <v>0</v>
      </c>
      <c r="T1045">
        <v>0</v>
      </c>
      <c r="U1045">
        <v>0</v>
      </c>
      <c r="V1045">
        <v>0</v>
      </c>
      <c r="W1045">
        <v>0</v>
      </c>
      <c r="X1045">
        <v>0</v>
      </c>
      <c r="Y1045">
        <v>0</v>
      </c>
      <c r="Z1045">
        <v>0</v>
      </c>
      <c r="AA1045">
        <v>0</v>
      </c>
      <c r="AB1045">
        <v>0</v>
      </c>
      <c r="AC1045">
        <v>0</v>
      </c>
      <c r="AD1045">
        <v>0</v>
      </c>
      <c r="AE1045">
        <v>0</v>
      </c>
      <c r="AF1045">
        <v>0</v>
      </c>
      <c r="AG1045">
        <v>0</v>
      </c>
      <c r="AH1045">
        <v>0</v>
      </c>
      <c r="AI1045">
        <v>0</v>
      </c>
      <c r="AJ1045">
        <v>0</v>
      </c>
      <c r="AK1045">
        <v>0</v>
      </c>
      <c r="AL1045">
        <v>0</v>
      </c>
      <c r="AM1045">
        <v>0</v>
      </c>
      <c r="AN1045">
        <v>0</v>
      </c>
      <c r="AO1045">
        <v>0</v>
      </c>
      <c r="AP1045">
        <v>0</v>
      </c>
      <c r="AQ1045">
        <v>25.52</v>
      </c>
      <c r="AR1045">
        <v>0</v>
      </c>
      <c r="AS1045">
        <v>0</v>
      </c>
      <c r="AT1045">
        <v>0</v>
      </c>
      <c r="AU1045">
        <v>0</v>
      </c>
      <c r="AV1045">
        <v>0</v>
      </c>
      <c r="AW1045">
        <v>0</v>
      </c>
      <c r="AX1045">
        <v>0</v>
      </c>
      <c r="AY1045">
        <v>0</v>
      </c>
      <c r="AZ1045">
        <v>0</v>
      </c>
      <c r="BA1045">
        <v>0</v>
      </c>
      <c r="BB1045">
        <v>0</v>
      </c>
      <c r="BC1045">
        <v>0</v>
      </c>
      <c r="BD1045">
        <v>0</v>
      </c>
      <c r="BE1045">
        <v>0</v>
      </c>
      <c r="BF1045">
        <v>0</v>
      </c>
      <c r="BG1045">
        <v>0</v>
      </c>
      <c r="BH1045">
        <v>1</v>
      </c>
      <c r="BI1045">
        <v>1</v>
      </c>
      <c r="BJ1045">
        <v>0.2</v>
      </c>
      <c r="BK1045">
        <v>1</v>
      </c>
      <c r="BL1045">
        <v>76.06</v>
      </c>
      <c r="BM1045">
        <v>11.41</v>
      </c>
      <c r="BN1045">
        <v>87.47</v>
      </c>
      <c r="BO1045">
        <v>87.47</v>
      </c>
      <c r="BQ1045" t="s">
        <v>444</v>
      </c>
      <c r="BR1045" t="s">
        <v>82</v>
      </c>
      <c r="BS1045" s="3">
        <v>46000</v>
      </c>
      <c r="BT1045" s="4">
        <v>0.3347222222222222</v>
      </c>
      <c r="BU1045" t="s">
        <v>1194</v>
      </c>
      <c r="BV1045" t="s">
        <v>84</v>
      </c>
      <c r="BY1045">
        <v>1200</v>
      </c>
      <c r="CA1045" t="s">
        <v>346</v>
      </c>
      <c r="CC1045" t="s">
        <v>157</v>
      </c>
      <c r="CD1045">
        <v>7530</v>
      </c>
      <c r="CE1045" t="s">
        <v>134</v>
      </c>
      <c r="CF1045" s="3">
        <v>46001</v>
      </c>
      <c r="CI1045">
        <v>1</v>
      </c>
      <c r="CJ1045">
        <v>1</v>
      </c>
      <c r="CK1045">
        <v>21</v>
      </c>
      <c r="CL1045" t="s">
        <v>87</v>
      </c>
    </row>
    <row r="1046" spans="1:90" x14ac:dyDescent="0.3">
      <c r="A1046" t="s">
        <v>72</v>
      </c>
      <c r="B1046" t="s">
        <v>73</v>
      </c>
      <c r="C1046" t="s">
        <v>74</v>
      </c>
      <c r="E1046" t="str">
        <f>"080069756763"</f>
        <v>080069756763</v>
      </c>
      <c r="F1046" s="3">
        <v>45999</v>
      </c>
      <c r="G1046">
        <v>202609</v>
      </c>
      <c r="H1046" t="s">
        <v>75</v>
      </c>
      <c r="I1046" t="s">
        <v>76</v>
      </c>
      <c r="J1046" t="s">
        <v>77</v>
      </c>
      <c r="K1046" t="s">
        <v>78</v>
      </c>
      <c r="L1046" t="s">
        <v>156</v>
      </c>
      <c r="M1046" t="s">
        <v>157</v>
      </c>
      <c r="N1046" t="s">
        <v>446</v>
      </c>
      <c r="O1046" t="s">
        <v>89</v>
      </c>
      <c r="P1046" t="str">
        <f>"4170072339                    "</f>
        <v xml:space="preserve">4170072339                    </v>
      </c>
      <c r="Q1046">
        <v>0</v>
      </c>
      <c r="R1046">
        <v>0</v>
      </c>
      <c r="S1046">
        <v>0</v>
      </c>
      <c r="T1046">
        <v>0</v>
      </c>
      <c r="U1046">
        <v>0</v>
      </c>
      <c r="V1046">
        <v>0</v>
      </c>
      <c r="W1046">
        <v>0</v>
      </c>
      <c r="X1046">
        <v>0</v>
      </c>
      <c r="Y1046">
        <v>0</v>
      </c>
      <c r="Z1046">
        <v>0</v>
      </c>
      <c r="AA1046">
        <v>0</v>
      </c>
      <c r="AB1046">
        <v>0</v>
      </c>
      <c r="AC1046">
        <v>0</v>
      </c>
      <c r="AD1046">
        <v>0</v>
      </c>
      <c r="AE1046">
        <v>0</v>
      </c>
      <c r="AF1046">
        <v>0</v>
      </c>
      <c r="AG1046">
        <v>0</v>
      </c>
      <c r="AH1046">
        <v>0</v>
      </c>
      <c r="AI1046">
        <v>0</v>
      </c>
      <c r="AJ1046">
        <v>0</v>
      </c>
      <c r="AK1046">
        <v>0</v>
      </c>
      <c r="AL1046">
        <v>0</v>
      </c>
      <c r="AM1046">
        <v>0</v>
      </c>
      <c r="AN1046">
        <v>0</v>
      </c>
      <c r="AO1046">
        <v>0</v>
      </c>
      <c r="AP1046">
        <v>0</v>
      </c>
      <c r="AQ1046">
        <v>25.52</v>
      </c>
      <c r="AR1046">
        <v>0</v>
      </c>
      <c r="AS1046">
        <v>0</v>
      </c>
      <c r="AT1046">
        <v>0</v>
      </c>
      <c r="AU1046">
        <v>0</v>
      </c>
      <c r="AV1046">
        <v>0</v>
      </c>
      <c r="AW1046">
        <v>0</v>
      </c>
      <c r="AX1046">
        <v>0</v>
      </c>
      <c r="AY1046">
        <v>0</v>
      </c>
      <c r="AZ1046">
        <v>0</v>
      </c>
      <c r="BA1046">
        <v>0</v>
      </c>
      <c r="BB1046">
        <v>0</v>
      </c>
      <c r="BC1046">
        <v>0</v>
      </c>
      <c r="BD1046">
        <v>0</v>
      </c>
      <c r="BE1046">
        <v>0</v>
      </c>
      <c r="BF1046">
        <v>0</v>
      </c>
      <c r="BG1046">
        <v>0</v>
      </c>
      <c r="BH1046">
        <v>1</v>
      </c>
      <c r="BI1046">
        <v>1</v>
      </c>
      <c r="BJ1046">
        <v>0.2</v>
      </c>
      <c r="BK1046">
        <v>1</v>
      </c>
      <c r="BL1046">
        <v>76.06</v>
      </c>
      <c r="BM1046">
        <v>11.41</v>
      </c>
      <c r="BN1046">
        <v>87.47</v>
      </c>
      <c r="BO1046">
        <v>87.47</v>
      </c>
      <c r="BQ1046" t="s">
        <v>447</v>
      </c>
      <c r="BR1046" t="s">
        <v>82</v>
      </c>
      <c r="BS1046" s="3">
        <v>46000</v>
      </c>
      <c r="BT1046" s="4">
        <v>0.40138888888888891</v>
      </c>
      <c r="BU1046" t="s">
        <v>1045</v>
      </c>
      <c r="BV1046" t="s">
        <v>84</v>
      </c>
      <c r="BY1046">
        <v>1200</v>
      </c>
      <c r="CA1046" t="s">
        <v>1217</v>
      </c>
      <c r="CC1046" t="s">
        <v>157</v>
      </c>
      <c r="CD1046">
        <v>7530</v>
      </c>
      <c r="CE1046" t="s">
        <v>134</v>
      </c>
      <c r="CF1046" s="3">
        <v>46001</v>
      </c>
      <c r="CI1046">
        <v>1</v>
      </c>
      <c r="CJ1046">
        <v>1</v>
      </c>
      <c r="CK1046">
        <v>21</v>
      </c>
      <c r="CL1046" t="s">
        <v>87</v>
      </c>
    </row>
    <row r="1047" spans="1:90" x14ac:dyDescent="0.3">
      <c r="A1047" t="s">
        <v>72</v>
      </c>
      <c r="B1047" t="s">
        <v>73</v>
      </c>
      <c r="C1047" t="s">
        <v>74</v>
      </c>
      <c r="E1047" t="str">
        <f>"080069756799"</f>
        <v>080069756799</v>
      </c>
      <c r="F1047" s="3">
        <v>45999</v>
      </c>
      <c r="G1047">
        <v>202609</v>
      </c>
      <c r="H1047" t="s">
        <v>75</v>
      </c>
      <c r="I1047" t="s">
        <v>76</v>
      </c>
      <c r="J1047" t="s">
        <v>77</v>
      </c>
      <c r="K1047" t="s">
        <v>78</v>
      </c>
      <c r="L1047" t="s">
        <v>156</v>
      </c>
      <c r="M1047" t="s">
        <v>157</v>
      </c>
      <c r="N1047" t="s">
        <v>158</v>
      </c>
      <c r="O1047" t="s">
        <v>89</v>
      </c>
      <c r="P1047" t="str">
        <f>"4170072392                    "</f>
        <v xml:space="preserve">4170072392                    </v>
      </c>
      <c r="Q1047">
        <v>0</v>
      </c>
      <c r="R1047">
        <v>0</v>
      </c>
      <c r="S1047">
        <v>0</v>
      </c>
      <c r="T1047">
        <v>0</v>
      </c>
      <c r="U1047">
        <v>0</v>
      </c>
      <c r="V1047">
        <v>0</v>
      </c>
      <c r="W1047">
        <v>0</v>
      </c>
      <c r="X1047">
        <v>0</v>
      </c>
      <c r="Y1047">
        <v>0</v>
      </c>
      <c r="Z1047">
        <v>0</v>
      </c>
      <c r="AA1047">
        <v>0</v>
      </c>
      <c r="AB1047">
        <v>0</v>
      </c>
      <c r="AC1047">
        <v>0</v>
      </c>
      <c r="AD1047">
        <v>0</v>
      </c>
      <c r="AE1047">
        <v>0</v>
      </c>
      <c r="AF1047">
        <v>0</v>
      </c>
      <c r="AG1047">
        <v>0</v>
      </c>
      <c r="AH1047">
        <v>0</v>
      </c>
      <c r="AI1047">
        <v>0</v>
      </c>
      <c r="AJ1047">
        <v>0</v>
      </c>
      <c r="AK1047">
        <v>0</v>
      </c>
      <c r="AL1047">
        <v>0</v>
      </c>
      <c r="AM1047">
        <v>0</v>
      </c>
      <c r="AN1047">
        <v>0</v>
      </c>
      <c r="AO1047">
        <v>0</v>
      </c>
      <c r="AP1047">
        <v>0</v>
      </c>
      <c r="AQ1047">
        <v>25.52</v>
      </c>
      <c r="AR1047">
        <v>0</v>
      </c>
      <c r="AS1047">
        <v>0</v>
      </c>
      <c r="AT1047">
        <v>0</v>
      </c>
      <c r="AU1047">
        <v>0</v>
      </c>
      <c r="AV1047">
        <v>0</v>
      </c>
      <c r="AW1047">
        <v>0</v>
      </c>
      <c r="AX1047">
        <v>0</v>
      </c>
      <c r="AY1047">
        <v>0</v>
      </c>
      <c r="AZ1047">
        <v>0</v>
      </c>
      <c r="BA1047">
        <v>0</v>
      </c>
      <c r="BB1047">
        <v>0</v>
      </c>
      <c r="BC1047">
        <v>0</v>
      </c>
      <c r="BD1047">
        <v>0</v>
      </c>
      <c r="BE1047">
        <v>0</v>
      </c>
      <c r="BF1047">
        <v>0</v>
      </c>
      <c r="BG1047">
        <v>0</v>
      </c>
      <c r="BH1047">
        <v>1</v>
      </c>
      <c r="BI1047">
        <v>1</v>
      </c>
      <c r="BJ1047">
        <v>0.2</v>
      </c>
      <c r="BK1047">
        <v>1</v>
      </c>
      <c r="BL1047">
        <v>76.06</v>
      </c>
      <c r="BM1047">
        <v>11.41</v>
      </c>
      <c r="BN1047">
        <v>87.47</v>
      </c>
      <c r="BO1047">
        <v>87.47</v>
      </c>
      <c r="BQ1047" t="s">
        <v>159</v>
      </c>
      <c r="BR1047" t="s">
        <v>82</v>
      </c>
      <c r="BS1047" s="3">
        <v>46000</v>
      </c>
      <c r="BT1047" s="4">
        <v>0.41944444444444445</v>
      </c>
      <c r="BU1047" t="s">
        <v>1697</v>
      </c>
      <c r="BV1047" t="s">
        <v>84</v>
      </c>
      <c r="BY1047">
        <v>1200</v>
      </c>
      <c r="CA1047" t="s">
        <v>1217</v>
      </c>
      <c r="CC1047" t="s">
        <v>157</v>
      </c>
      <c r="CD1047">
        <v>7530</v>
      </c>
      <c r="CE1047" t="s">
        <v>134</v>
      </c>
      <c r="CF1047" s="3">
        <v>46001</v>
      </c>
      <c r="CI1047">
        <v>1</v>
      </c>
      <c r="CJ1047">
        <v>1</v>
      </c>
      <c r="CK1047">
        <v>21</v>
      </c>
      <c r="CL1047" t="s">
        <v>87</v>
      </c>
    </row>
    <row r="1048" spans="1:90" x14ac:dyDescent="0.3">
      <c r="A1048" t="s">
        <v>72</v>
      </c>
      <c r="B1048" t="s">
        <v>73</v>
      </c>
      <c r="C1048" t="s">
        <v>74</v>
      </c>
      <c r="E1048" t="str">
        <f>"080069756837"</f>
        <v>080069756837</v>
      </c>
      <c r="F1048" s="3">
        <v>45999</v>
      </c>
      <c r="G1048">
        <v>202609</v>
      </c>
      <c r="H1048" t="s">
        <v>75</v>
      </c>
      <c r="I1048" t="s">
        <v>76</v>
      </c>
      <c r="J1048" t="s">
        <v>77</v>
      </c>
      <c r="K1048" t="s">
        <v>78</v>
      </c>
      <c r="L1048" t="s">
        <v>156</v>
      </c>
      <c r="M1048" t="s">
        <v>157</v>
      </c>
      <c r="N1048" t="s">
        <v>446</v>
      </c>
      <c r="O1048" t="s">
        <v>89</v>
      </c>
      <c r="P1048" t="str">
        <f>"4170072398                    "</f>
        <v xml:space="preserve">4170072398                    </v>
      </c>
      <c r="Q1048">
        <v>0</v>
      </c>
      <c r="R1048">
        <v>0</v>
      </c>
      <c r="S1048">
        <v>0</v>
      </c>
      <c r="T1048">
        <v>0</v>
      </c>
      <c r="U1048">
        <v>0</v>
      </c>
      <c r="V1048">
        <v>0</v>
      </c>
      <c r="W1048">
        <v>0</v>
      </c>
      <c r="X1048">
        <v>0</v>
      </c>
      <c r="Y1048">
        <v>0</v>
      </c>
      <c r="Z1048">
        <v>0</v>
      </c>
      <c r="AA1048">
        <v>0</v>
      </c>
      <c r="AB1048">
        <v>0</v>
      </c>
      <c r="AC1048">
        <v>0</v>
      </c>
      <c r="AD1048">
        <v>0</v>
      </c>
      <c r="AE1048">
        <v>0</v>
      </c>
      <c r="AF1048">
        <v>0</v>
      </c>
      <c r="AG1048">
        <v>0</v>
      </c>
      <c r="AH1048">
        <v>0</v>
      </c>
      <c r="AI1048">
        <v>0</v>
      </c>
      <c r="AJ1048">
        <v>0</v>
      </c>
      <c r="AK1048">
        <v>0</v>
      </c>
      <c r="AL1048">
        <v>0</v>
      </c>
      <c r="AM1048">
        <v>0</v>
      </c>
      <c r="AN1048">
        <v>0</v>
      </c>
      <c r="AO1048">
        <v>0</v>
      </c>
      <c r="AP1048">
        <v>0</v>
      </c>
      <c r="AQ1048">
        <v>25.52</v>
      </c>
      <c r="AR1048">
        <v>0</v>
      </c>
      <c r="AS1048">
        <v>0</v>
      </c>
      <c r="AT1048">
        <v>0</v>
      </c>
      <c r="AU1048">
        <v>0</v>
      </c>
      <c r="AV1048">
        <v>0</v>
      </c>
      <c r="AW1048">
        <v>0</v>
      </c>
      <c r="AX1048">
        <v>0</v>
      </c>
      <c r="AY1048">
        <v>0</v>
      </c>
      <c r="AZ1048">
        <v>0</v>
      </c>
      <c r="BA1048">
        <v>0</v>
      </c>
      <c r="BB1048">
        <v>0</v>
      </c>
      <c r="BC1048">
        <v>0</v>
      </c>
      <c r="BD1048">
        <v>0</v>
      </c>
      <c r="BE1048">
        <v>0</v>
      </c>
      <c r="BF1048">
        <v>0</v>
      </c>
      <c r="BG1048">
        <v>0</v>
      </c>
      <c r="BH1048">
        <v>1</v>
      </c>
      <c r="BI1048">
        <v>1</v>
      </c>
      <c r="BJ1048">
        <v>0.2</v>
      </c>
      <c r="BK1048">
        <v>1</v>
      </c>
      <c r="BL1048">
        <v>76.06</v>
      </c>
      <c r="BM1048">
        <v>11.41</v>
      </c>
      <c r="BN1048">
        <v>87.47</v>
      </c>
      <c r="BO1048">
        <v>87.47</v>
      </c>
      <c r="BQ1048" t="s">
        <v>447</v>
      </c>
      <c r="BR1048" t="s">
        <v>82</v>
      </c>
      <c r="BS1048" s="3">
        <v>46000</v>
      </c>
      <c r="BT1048" s="4">
        <v>0.40069444444444446</v>
      </c>
      <c r="BU1048" t="s">
        <v>1045</v>
      </c>
      <c r="BV1048" t="s">
        <v>84</v>
      </c>
      <c r="BY1048">
        <v>1200</v>
      </c>
      <c r="CA1048" t="s">
        <v>1217</v>
      </c>
      <c r="CC1048" t="s">
        <v>157</v>
      </c>
      <c r="CD1048">
        <v>7530</v>
      </c>
      <c r="CE1048" t="s">
        <v>134</v>
      </c>
      <c r="CF1048" s="3">
        <v>46001</v>
      </c>
      <c r="CI1048">
        <v>1</v>
      </c>
      <c r="CJ1048">
        <v>1</v>
      </c>
      <c r="CK1048">
        <v>21</v>
      </c>
      <c r="CL1048" t="s">
        <v>87</v>
      </c>
    </row>
    <row r="1049" spans="1:90" x14ac:dyDescent="0.3">
      <c r="A1049" t="s">
        <v>72</v>
      </c>
      <c r="B1049" t="s">
        <v>73</v>
      </c>
      <c r="C1049" t="s">
        <v>74</v>
      </c>
      <c r="E1049" t="str">
        <f>"080069756914"</f>
        <v>080069756914</v>
      </c>
      <c r="F1049" s="3">
        <v>45999</v>
      </c>
      <c r="G1049">
        <v>202609</v>
      </c>
      <c r="H1049" t="s">
        <v>75</v>
      </c>
      <c r="I1049" t="s">
        <v>76</v>
      </c>
      <c r="J1049" t="s">
        <v>77</v>
      </c>
      <c r="K1049" t="s">
        <v>78</v>
      </c>
      <c r="L1049" t="s">
        <v>692</v>
      </c>
      <c r="M1049" t="s">
        <v>693</v>
      </c>
      <c r="N1049" t="s">
        <v>694</v>
      </c>
      <c r="O1049" t="s">
        <v>340</v>
      </c>
      <c r="P1049" t="str">
        <f>"4170072495                    "</f>
        <v xml:space="preserve">4170072495                    </v>
      </c>
      <c r="Q1049">
        <v>0</v>
      </c>
      <c r="R1049">
        <v>0</v>
      </c>
      <c r="S1049">
        <v>0</v>
      </c>
      <c r="T1049">
        <v>0</v>
      </c>
      <c r="U1049">
        <v>0</v>
      </c>
      <c r="V1049">
        <v>0</v>
      </c>
      <c r="W1049">
        <v>0</v>
      </c>
      <c r="X1049">
        <v>0</v>
      </c>
      <c r="Y1049">
        <v>0</v>
      </c>
      <c r="Z1049">
        <v>0</v>
      </c>
      <c r="AA1049">
        <v>0</v>
      </c>
      <c r="AB1049">
        <v>0</v>
      </c>
      <c r="AC1049">
        <v>0</v>
      </c>
      <c r="AD1049">
        <v>0</v>
      </c>
      <c r="AE1049">
        <v>0</v>
      </c>
      <c r="AF1049">
        <v>0</v>
      </c>
      <c r="AG1049">
        <v>0</v>
      </c>
      <c r="AH1049">
        <v>0</v>
      </c>
      <c r="AI1049">
        <v>0</v>
      </c>
      <c r="AJ1049">
        <v>0</v>
      </c>
      <c r="AK1049">
        <v>0</v>
      </c>
      <c r="AL1049">
        <v>0</v>
      </c>
      <c r="AM1049">
        <v>0</v>
      </c>
      <c r="AN1049">
        <v>0</v>
      </c>
      <c r="AO1049">
        <v>0</v>
      </c>
      <c r="AP1049">
        <v>0</v>
      </c>
      <c r="AQ1049">
        <v>272.87</v>
      </c>
      <c r="AR1049">
        <v>0</v>
      </c>
      <c r="AS1049">
        <v>0</v>
      </c>
      <c r="AT1049">
        <v>0</v>
      </c>
      <c r="AU1049">
        <v>0</v>
      </c>
      <c r="AV1049">
        <v>0</v>
      </c>
      <c r="AW1049">
        <v>0</v>
      </c>
      <c r="AX1049">
        <v>0</v>
      </c>
      <c r="AY1049">
        <v>0</v>
      </c>
      <c r="AZ1049">
        <v>0</v>
      </c>
      <c r="BA1049">
        <v>0</v>
      </c>
      <c r="BB1049">
        <v>0</v>
      </c>
      <c r="BC1049">
        <v>0</v>
      </c>
      <c r="BD1049">
        <v>0</v>
      </c>
      <c r="BE1049">
        <v>0</v>
      </c>
      <c r="BF1049">
        <v>0</v>
      </c>
      <c r="BG1049">
        <v>0</v>
      </c>
      <c r="BH1049">
        <v>1</v>
      </c>
      <c r="BI1049">
        <v>8</v>
      </c>
      <c r="BJ1049">
        <v>12.9</v>
      </c>
      <c r="BK1049">
        <v>13</v>
      </c>
      <c r="BL1049">
        <v>813.21</v>
      </c>
      <c r="BM1049">
        <v>121.98</v>
      </c>
      <c r="BN1049">
        <v>935.19</v>
      </c>
      <c r="BO1049">
        <v>935.19</v>
      </c>
      <c r="BQ1049" t="s">
        <v>695</v>
      </c>
      <c r="BR1049" t="s">
        <v>82</v>
      </c>
      <c r="BS1049" s="3">
        <v>46000</v>
      </c>
      <c r="BT1049" s="4">
        <v>0.44791666666666669</v>
      </c>
      <c r="BU1049" t="s">
        <v>1742</v>
      </c>
      <c r="BV1049" t="s">
        <v>84</v>
      </c>
      <c r="BY1049">
        <v>64320</v>
      </c>
      <c r="CA1049" t="s">
        <v>697</v>
      </c>
      <c r="CC1049" t="s">
        <v>693</v>
      </c>
      <c r="CD1049">
        <v>1759</v>
      </c>
      <c r="CE1049" t="s">
        <v>86</v>
      </c>
      <c r="CF1049" s="3">
        <v>46001</v>
      </c>
      <c r="CI1049">
        <v>1</v>
      </c>
      <c r="CJ1049">
        <v>1</v>
      </c>
      <c r="CK1049">
        <v>34</v>
      </c>
      <c r="CL1049" t="s">
        <v>87</v>
      </c>
    </row>
    <row r="1050" spans="1:90" x14ac:dyDescent="0.3">
      <c r="A1050" t="s">
        <v>72</v>
      </c>
      <c r="B1050" t="s">
        <v>73</v>
      </c>
      <c r="C1050" t="s">
        <v>74</v>
      </c>
      <c r="E1050" t="str">
        <f>"080069756977"</f>
        <v>080069756977</v>
      </c>
      <c r="F1050" s="3">
        <v>45999</v>
      </c>
      <c r="G1050">
        <v>202609</v>
      </c>
      <c r="H1050" t="s">
        <v>75</v>
      </c>
      <c r="I1050" t="s">
        <v>76</v>
      </c>
      <c r="J1050" t="s">
        <v>77</v>
      </c>
      <c r="K1050" t="s">
        <v>78</v>
      </c>
      <c r="L1050" t="s">
        <v>692</v>
      </c>
      <c r="M1050" t="s">
        <v>693</v>
      </c>
      <c r="N1050" t="s">
        <v>694</v>
      </c>
      <c r="O1050" t="s">
        <v>89</v>
      </c>
      <c r="P1050" t="str">
        <f>"4170072496                    "</f>
        <v xml:space="preserve">4170072496                    </v>
      </c>
      <c r="Q1050">
        <v>0</v>
      </c>
      <c r="R1050">
        <v>0</v>
      </c>
      <c r="S1050">
        <v>0</v>
      </c>
      <c r="T1050">
        <v>0</v>
      </c>
      <c r="U1050">
        <v>0</v>
      </c>
      <c r="V1050">
        <v>0</v>
      </c>
      <c r="W1050">
        <v>0</v>
      </c>
      <c r="X1050">
        <v>0</v>
      </c>
      <c r="Y1050">
        <v>0</v>
      </c>
      <c r="Z1050">
        <v>0</v>
      </c>
      <c r="AA1050">
        <v>0</v>
      </c>
      <c r="AB1050">
        <v>0</v>
      </c>
      <c r="AC1050">
        <v>0</v>
      </c>
      <c r="AD1050">
        <v>0</v>
      </c>
      <c r="AE1050">
        <v>0</v>
      </c>
      <c r="AF1050">
        <v>0</v>
      </c>
      <c r="AG1050">
        <v>0</v>
      </c>
      <c r="AH1050">
        <v>0</v>
      </c>
      <c r="AI1050">
        <v>0</v>
      </c>
      <c r="AJ1050">
        <v>0</v>
      </c>
      <c r="AK1050">
        <v>0</v>
      </c>
      <c r="AL1050">
        <v>0</v>
      </c>
      <c r="AM1050">
        <v>0</v>
      </c>
      <c r="AN1050">
        <v>0</v>
      </c>
      <c r="AO1050">
        <v>0</v>
      </c>
      <c r="AP1050">
        <v>0</v>
      </c>
      <c r="AQ1050">
        <v>228.21</v>
      </c>
      <c r="AR1050">
        <v>0</v>
      </c>
      <c r="AS1050">
        <v>0</v>
      </c>
      <c r="AT1050">
        <v>0</v>
      </c>
      <c r="AU1050">
        <v>0</v>
      </c>
      <c r="AV1050">
        <v>0</v>
      </c>
      <c r="AW1050">
        <v>0</v>
      </c>
      <c r="AX1050">
        <v>0</v>
      </c>
      <c r="AY1050">
        <v>0</v>
      </c>
      <c r="AZ1050">
        <v>0</v>
      </c>
      <c r="BA1050">
        <v>0</v>
      </c>
      <c r="BB1050">
        <v>0</v>
      </c>
      <c r="BC1050">
        <v>0</v>
      </c>
      <c r="BD1050">
        <v>0</v>
      </c>
      <c r="BE1050">
        <v>0</v>
      </c>
      <c r="BF1050">
        <v>0</v>
      </c>
      <c r="BG1050">
        <v>0</v>
      </c>
      <c r="BH1050">
        <v>1</v>
      </c>
      <c r="BI1050">
        <v>8</v>
      </c>
      <c r="BJ1050">
        <v>12.9</v>
      </c>
      <c r="BK1050">
        <v>13</v>
      </c>
      <c r="BL1050">
        <v>680.11</v>
      </c>
      <c r="BM1050">
        <v>102.02</v>
      </c>
      <c r="BN1050">
        <v>782.13</v>
      </c>
      <c r="BO1050">
        <v>782.13</v>
      </c>
      <c r="BQ1050" t="s">
        <v>695</v>
      </c>
      <c r="BR1050" t="s">
        <v>82</v>
      </c>
      <c r="BS1050" s="3">
        <v>46000</v>
      </c>
      <c r="BT1050" s="4">
        <v>0.44791666666666669</v>
      </c>
      <c r="BU1050" t="s">
        <v>1742</v>
      </c>
      <c r="BV1050" t="s">
        <v>84</v>
      </c>
      <c r="BY1050">
        <v>64320</v>
      </c>
      <c r="CA1050" t="s">
        <v>697</v>
      </c>
      <c r="CC1050" t="s">
        <v>693</v>
      </c>
      <c r="CD1050">
        <v>1759</v>
      </c>
      <c r="CE1050" t="s">
        <v>93</v>
      </c>
      <c r="CF1050" s="3">
        <v>46001</v>
      </c>
      <c r="CI1050">
        <v>1</v>
      </c>
      <c r="CJ1050">
        <v>1</v>
      </c>
      <c r="CK1050">
        <v>24</v>
      </c>
      <c r="CL1050" t="s">
        <v>87</v>
      </c>
    </row>
    <row r="1051" spans="1:90" x14ac:dyDescent="0.3">
      <c r="A1051" t="s">
        <v>72</v>
      </c>
      <c r="B1051" t="s">
        <v>73</v>
      </c>
      <c r="C1051" t="s">
        <v>74</v>
      </c>
      <c r="E1051" t="str">
        <f>"080069757021"</f>
        <v>080069757021</v>
      </c>
      <c r="F1051" s="3">
        <v>45999</v>
      </c>
      <c r="G1051">
        <v>202609</v>
      </c>
      <c r="H1051" t="s">
        <v>75</v>
      </c>
      <c r="I1051" t="s">
        <v>76</v>
      </c>
      <c r="J1051" t="s">
        <v>77</v>
      </c>
      <c r="K1051" t="s">
        <v>78</v>
      </c>
      <c r="L1051" t="s">
        <v>141</v>
      </c>
      <c r="M1051" t="s">
        <v>142</v>
      </c>
      <c r="N1051" t="s">
        <v>675</v>
      </c>
      <c r="O1051" t="s">
        <v>89</v>
      </c>
      <c r="P1051" t="str">
        <f>"4170072481                    "</f>
        <v xml:space="preserve">4170072481                    </v>
      </c>
      <c r="Q1051">
        <v>0</v>
      </c>
      <c r="R1051">
        <v>0</v>
      </c>
      <c r="S1051">
        <v>0</v>
      </c>
      <c r="T1051">
        <v>0</v>
      </c>
      <c r="U1051">
        <v>0</v>
      </c>
      <c r="V1051">
        <v>0</v>
      </c>
      <c r="W1051">
        <v>0</v>
      </c>
      <c r="X1051">
        <v>0</v>
      </c>
      <c r="Y1051">
        <v>0</v>
      </c>
      <c r="Z1051">
        <v>0</v>
      </c>
      <c r="AA1051">
        <v>0</v>
      </c>
      <c r="AB1051">
        <v>0</v>
      </c>
      <c r="AC1051">
        <v>0</v>
      </c>
      <c r="AD1051">
        <v>0</v>
      </c>
      <c r="AE1051">
        <v>0</v>
      </c>
      <c r="AF1051">
        <v>0</v>
      </c>
      <c r="AG1051">
        <v>0</v>
      </c>
      <c r="AH1051">
        <v>0</v>
      </c>
      <c r="AI1051">
        <v>0</v>
      </c>
      <c r="AJ1051">
        <v>0</v>
      </c>
      <c r="AK1051">
        <v>0</v>
      </c>
      <c r="AL1051">
        <v>0</v>
      </c>
      <c r="AM1051">
        <v>0</v>
      </c>
      <c r="AN1051">
        <v>0</v>
      </c>
      <c r="AO1051">
        <v>0</v>
      </c>
      <c r="AP1051">
        <v>0</v>
      </c>
      <c r="AQ1051">
        <v>25.52</v>
      </c>
      <c r="AR1051">
        <v>0</v>
      </c>
      <c r="AS1051">
        <v>0</v>
      </c>
      <c r="AT1051">
        <v>0</v>
      </c>
      <c r="AU1051">
        <v>0</v>
      </c>
      <c r="AV1051">
        <v>0</v>
      </c>
      <c r="AW1051">
        <v>0</v>
      </c>
      <c r="AX1051">
        <v>0</v>
      </c>
      <c r="AY1051">
        <v>0</v>
      </c>
      <c r="AZ1051">
        <v>0</v>
      </c>
      <c r="BA1051">
        <v>0</v>
      </c>
      <c r="BB1051">
        <v>0</v>
      </c>
      <c r="BC1051">
        <v>0</v>
      </c>
      <c r="BD1051">
        <v>0</v>
      </c>
      <c r="BE1051">
        <v>0</v>
      </c>
      <c r="BF1051">
        <v>0</v>
      </c>
      <c r="BG1051">
        <v>0</v>
      </c>
      <c r="BH1051">
        <v>1</v>
      </c>
      <c r="BI1051">
        <v>2</v>
      </c>
      <c r="BJ1051">
        <v>1.4</v>
      </c>
      <c r="BK1051">
        <v>2</v>
      </c>
      <c r="BL1051">
        <v>76.06</v>
      </c>
      <c r="BM1051">
        <v>11.41</v>
      </c>
      <c r="BN1051">
        <v>87.47</v>
      </c>
      <c r="BO1051">
        <v>87.47</v>
      </c>
      <c r="BQ1051" t="s">
        <v>676</v>
      </c>
      <c r="BR1051" t="s">
        <v>82</v>
      </c>
      <c r="BS1051" s="3">
        <v>46000</v>
      </c>
      <c r="BT1051" s="4">
        <v>0.43055555555555558</v>
      </c>
      <c r="BU1051" t="s">
        <v>1693</v>
      </c>
      <c r="BV1051" t="s">
        <v>84</v>
      </c>
      <c r="BY1051">
        <v>7000</v>
      </c>
      <c r="CA1051" t="s">
        <v>1228</v>
      </c>
      <c r="CC1051" t="s">
        <v>142</v>
      </c>
      <c r="CD1051">
        <v>6001</v>
      </c>
      <c r="CE1051" t="s">
        <v>86</v>
      </c>
      <c r="CF1051" s="3">
        <v>46000</v>
      </c>
      <c r="CI1051">
        <v>1</v>
      </c>
      <c r="CJ1051">
        <v>1</v>
      </c>
      <c r="CK1051">
        <v>21</v>
      </c>
      <c r="CL1051" t="s">
        <v>87</v>
      </c>
    </row>
    <row r="1052" spans="1:90" x14ac:dyDescent="0.3">
      <c r="A1052" t="s">
        <v>72</v>
      </c>
      <c r="B1052" t="s">
        <v>73</v>
      </c>
      <c r="C1052" t="s">
        <v>74</v>
      </c>
      <c r="E1052" t="str">
        <f>"080069757073"</f>
        <v>080069757073</v>
      </c>
      <c r="F1052" s="3">
        <v>45999</v>
      </c>
      <c r="G1052">
        <v>202609</v>
      </c>
      <c r="H1052" t="s">
        <v>75</v>
      </c>
      <c r="I1052" t="s">
        <v>76</v>
      </c>
      <c r="J1052" t="s">
        <v>77</v>
      </c>
      <c r="K1052" t="s">
        <v>78</v>
      </c>
      <c r="L1052" t="s">
        <v>156</v>
      </c>
      <c r="M1052" t="s">
        <v>157</v>
      </c>
      <c r="N1052" t="s">
        <v>158</v>
      </c>
      <c r="O1052" t="s">
        <v>89</v>
      </c>
      <c r="P1052" t="str">
        <f>"4170072542                    "</f>
        <v xml:space="preserve">4170072542                    </v>
      </c>
      <c r="Q1052">
        <v>0</v>
      </c>
      <c r="R1052">
        <v>0</v>
      </c>
      <c r="S1052">
        <v>0</v>
      </c>
      <c r="T1052">
        <v>0</v>
      </c>
      <c r="U1052">
        <v>0</v>
      </c>
      <c r="V1052">
        <v>0</v>
      </c>
      <c r="W1052">
        <v>0</v>
      </c>
      <c r="X1052">
        <v>0</v>
      </c>
      <c r="Y1052">
        <v>0</v>
      </c>
      <c r="Z1052">
        <v>0</v>
      </c>
      <c r="AA1052">
        <v>0</v>
      </c>
      <c r="AB1052">
        <v>0</v>
      </c>
      <c r="AC1052">
        <v>0</v>
      </c>
      <c r="AD1052">
        <v>0</v>
      </c>
      <c r="AE1052">
        <v>0</v>
      </c>
      <c r="AF1052">
        <v>0</v>
      </c>
      <c r="AG1052">
        <v>0</v>
      </c>
      <c r="AH1052">
        <v>0</v>
      </c>
      <c r="AI1052">
        <v>0</v>
      </c>
      <c r="AJ1052">
        <v>0</v>
      </c>
      <c r="AK1052">
        <v>0</v>
      </c>
      <c r="AL1052">
        <v>0</v>
      </c>
      <c r="AM1052">
        <v>0</v>
      </c>
      <c r="AN1052">
        <v>0</v>
      </c>
      <c r="AO1052">
        <v>0</v>
      </c>
      <c r="AP1052">
        <v>0</v>
      </c>
      <c r="AQ1052">
        <v>102.06</v>
      </c>
      <c r="AR1052">
        <v>0</v>
      </c>
      <c r="AS1052">
        <v>0</v>
      </c>
      <c r="AT1052">
        <v>0</v>
      </c>
      <c r="AU1052">
        <v>0</v>
      </c>
      <c r="AV1052">
        <v>0</v>
      </c>
      <c r="AW1052">
        <v>0</v>
      </c>
      <c r="AX1052">
        <v>0</v>
      </c>
      <c r="AY1052">
        <v>0</v>
      </c>
      <c r="AZ1052">
        <v>0</v>
      </c>
      <c r="BA1052">
        <v>0</v>
      </c>
      <c r="BB1052">
        <v>0</v>
      </c>
      <c r="BC1052">
        <v>0</v>
      </c>
      <c r="BD1052">
        <v>0</v>
      </c>
      <c r="BE1052">
        <v>0</v>
      </c>
      <c r="BF1052">
        <v>0</v>
      </c>
      <c r="BG1052">
        <v>0</v>
      </c>
      <c r="BH1052">
        <v>1</v>
      </c>
      <c r="BI1052">
        <v>8</v>
      </c>
      <c r="BJ1052">
        <v>3.1</v>
      </c>
      <c r="BK1052">
        <v>8</v>
      </c>
      <c r="BL1052">
        <v>304.16000000000003</v>
      </c>
      <c r="BM1052">
        <v>45.62</v>
      </c>
      <c r="BN1052">
        <v>349.78</v>
      </c>
      <c r="BO1052">
        <v>349.78</v>
      </c>
      <c r="BQ1052" t="s">
        <v>159</v>
      </c>
      <c r="BR1052" t="s">
        <v>82</v>
      </c>
      <c r="BS1052" s="3">
        <v>46000</v>
      </c>
      <c r="BT1052" s="4">
        <v>0.41944444444444445</v>
      </c>
      <c r="BU1052" t="s">
        <v>1697</v>
      </c>
      <c r="BV1052" t="s">
        <v>84</v>
      </c>
      <c r="BY1052">
        <v>15360</v>
      </c>
      <c r="CA1052" t="s">
        <v>1217</v>
      </c>
      <c r="CC1052" t="s">
        <v>157</v>
      </c>
      <c r="CD1052">
        <v>7535</v>
      </c>
      <c r="CE1052" t="s">
        <v>86</v>
      </c>
      <c r="CF1052" s="3">
        <v>46001</v>
      </c>
      <c r="CI1052">
        <v>1</v>
      </c>
      <c r="CJ1052">
        <v>1</v>
      </c>
      <c r="CK1052">
        <v>21</v>
      </c>
      <c r="CL1052" t="s">
        <v>87</v>
      </c>
    </row>
    <row r="1053" spans="1:90" x14ac:dyDescent="0.3">
      <c r="A1053" t="s">
        <v>72</v>
      </c>
      <c r="B1053" t="s">
        <v>73</v>
      </c>
      <c r="C1053" t="s">
        <v>74</v>
      </c>
      <c r="E1053" t="str">
        <f>"080069757096"</f>
        <v>080069757096</v>
      </c>
      <c r="F1053" s="3">
        <v>45999</v>
      </c>
      <c r="G1053">
        <v>202609</v>
      </c>
      <c r="H1053" t="s">
        <v>75</v>
      </c>
      <c r="I1053" t="s">
        <v>76</v>
      </c>
      <c r="J1053" t="s">
        <v>77</v>
      </c>
      <c r="K1053" t="s">
        <v>78</v>
      </c>
      <c r="L1053" t="s">
        <v>100</v>
      </c>
      <c r="M1053" t="s">
        <v>101</v>
      </c>
      <c r="N1053" t="s">
        <v>1554</v>
      </c>
      <c r="O1053" t="s">
        <v>89</v>
      </c>
      <c r="P1053" t="str">
        <f>"4170072433                    "</f>
        <v xml:space="preserve">4170072433                    </v>
      </c>
      <c r="Q1053">
        <v>0</v>
      </c>
      <c r="R1053">
        <v>0</v>
      </c>
      <c r="S1053">
        <v>0</v>
      </c>
      <c r="T1053">
        <v>0</v>
      </c>
      <c r="U1053">
        <v>0</v>
      </c>
      <c r="V1053">
        <v>0</v>
      </c>
      <c r="W1053">
        <v>0</v>
      </c>
      <c r="X1053">
        <v>0</v>
      </c>
      <c r="Y1053">
        <v>0</v>
      </c>
      <c r="Z1053">
        <v>0</v>
      </c>
      <c r="AA1053">
        <v>0</v>
      </c>
      <c r="AB1053">
        <v>0</v>
      </c>
      <c r="AC1053">
        <v>0</v>
      </c>
      <c r="AD1053">
        <v>0</v>
      </c>
      <c r="AE1053">
        <v>0</v>
      </c>
      <c r="AF1053">
        <v>0</v>
      </c>
      <c r="AG1053">
        <v>0</v>
      </c>
      <c r="AH1053">
        <v>0</v>
      </c>
      <c r="AI1053">
        <v>0</v>
      </c>
      <c r="AJ1053">
        <v>0</v>
      </c>
      <c r="AK1053">
        <v>0</v>
      </c>
      <c r="AL1053">
        <v>0</v>
      </c>
      <c r="AM1053">
        <v>0</v>
      </c>
      <c r="AN1053">
        <v>0</v>
      </c>
      <c r="AO1053">
        <v>0</v>
      </c>
      <c r="AP1053">
        <v>0</v>
      </c>
      <c r="AQ1053">
        <v>25.52</v>
      </c>
      <c r="AR1053">
        <v>0</v>
      </c>
      <c r="AS1053">
        <v>0</v>
      </c>
      <c r="AT1053">
        <v>0</v>
      </c>
      <c r="AU1053">
        <v>0</v>
      </c>
      <c r="AV1053">
        <v>0</v>
      </c>
      <c r="AW1053">
        <v>0</v>
      </c>
      <c r="AX1053">
        <v>0</v>
      </c>
      <c r="AY1053">
        <v>0</v>
      </c>
      <c r="AZ1053">
        <v>0</v>
      </c>
      <c r="BA1053">
        <v>0</v>
      </c>
      <c r="BB1053">
        <v>0</v>
      </c>
      <c r="BC1053">
        <v>0</v>
      </c>
      <c r="BD1053">
        <v>0</v>
      </c>
      <c r="BE1053">
        <v>0</v>
      </c>
      <c r="BF1053">
        <v>0</v>
      </c>
      <c r="BG1053">
        <v>0</v>
      </c>
      <c r="BH1053">
        <v>1</v>
      </c>
      <c r="BI1053">
        <v>1</v>
      </c>
      <c r="BJ1053">
        <v>1.4</v>
      </c>
      <c r="BK1053">
        <v>1.5</v>
      </c>
      <c r="BL1053">
        <v>76.06</v>
      </c>
      <c r="BM1053">
        <v>11.41</v>
      </c>
      <c r="BN1053">
        <v>87.47</v>
      </c>
      <c r="BO1053">
        <v>87.47</v>
      </c>
      <c r="BQ1053" t="s">
        <v>1555</v>
      </c>
      <c r="BR1053" t="s">
        <v>82</v>
      </c>
      <c r="BS1053" s="3">
        <v>46000</v>
      </c>
      <c r="BT1053" s="4">
        <v>0.49375000000000002</v>
      </c>
      <c r="BU1053" t="s">
        <v>1748</v>
      </c>
      <c r="BV1053" t="s">
        <v>87</v>
      </c>
      <c r="BW1053" t="s">
        <v>186</v>
      </c>
      <c r="BX1053" t="s">
        <v>780</v>
      </c>
      <c r="BY1053">
        <v>7000</v>
      </c>
      <c r="CA1053" t="s">
        <v>1749</v>
      </c>
      <c r="CC1053" t="s">
        <v>101</v>
      </c>
      <c r="CD1053">
        <v>4001</v>
      </c>
      <c r="CE1053" t="s">
        <v>86</v>
      </c>
      <c r="CF1053" s="3">
        <v>46000</v>
      </c>
      <c r="CI1053">
        <v>1</v>
      </c>
      <c r="CJ1053">
        <v>1</v>
      </c>
      <c r="CK1053">
        <v>21</v>
      </c>
      <c r="CL1053" t="s">
        <v>87</v>
      </c>
    </row>
    <row r="1054" spans="1:90" x14ac:dyDescent="0.3">
      <c r="A1054" t="s">
        <v>72</v>
      </c>
      <c r="B1054" t="s">
        <v>73</v>
      </c>
      <c r="C1054" t="s">
        <v>74</v>
      </c>
      <c r="E1054" t="str">
        <f>"080069757133"</f>
        <v>080069757133</v>
      </c>
      <c r="F1054" s="3">
        <v>45999</v>
      </c>
      <c r="G1054">
        <v>202609</v>
      </c>
      <c r="H1054" t="s">
        <v>75</v>
      </c>
      <c r="I1054" t="s">
        <v>76</v>
      </c>
      <c r="J1054" t="s">
        <v>77</v>
      </c>
      <c r="K1054" t="s">
        <v>78</v>
      </c>
      <c r="L1054" t="s">
        <v>100</v>
      </c>
      <c r="M1054" t="s">
        <v>101</v>
      </c>
      <c r="N1054" t="s">
        <v>498</v>
      </c>
      <c r="O1054" t="s">
        <v>89</v>
      </c>
      <c r="P1054" t="str">
        <f>"4170072508                    "</f>
        <v xml:space="preserve">4170072508                    </v>
      </c>
      <c r="Q1054">
        <v>0</v>
      </c>
      <c r="R1054">
        <v>0</v>
      </c>
      <c r="S1054">
        <v>0</v>
      </c>
      <c r="T1054">
        <v>0</v>
      </c>
      <c r="U1054">
        <v>0</v>
      </c>
      <c r="V1054">
        <v>0</v>
      </c>
      <c r="W1054">
        <v>0</v>
      </c>
      <c r="X1054">
        <v>0</v>
      </c>
      <c r="Y1054">
        <v>0</v>
      </c>
      <c r="Z1054">
        <v>0</v>
      </c>
      <c r="AA1054">
        <v>0</v>
      </c>
      <c r="AB1054">
        <v>0</v>
      </c>
      <c r="AC1054">
        <v>0</v>
      </c>
      <c r="AD1054">
        <v>0</v>
      </c>
      <c r="AE1054">
        <v>0</v>
      </c>
      <c r="AF1054">
        <v>0</v>
      </c>
      <c r="AG1054">
        <v>0</v>
      </c>
      <c r="AH1054">
        <v>0</v>
      </c>
      <c r="AI1054">
        <v>0</v>
      </c>
      <c r="AJ1054">
        <v>0</v>
      </c>
      <c r="AK1054">
        <v>0</v>
      </c>
      <c r="AL1054">
        <v>0</v>
      </c>
      <c r="AM1054">
        <v>0</v>
      </c>
      <c r="AN1054">
        <v>0</v>
      </c>
      <c r="AO1054">
        <v>0</v>
      </c>
      <c r="AP1054">
        <v>0</v>
      </c>
      <c r="AQ1054">
        <v>63.79</v>
      </c>
      <c r="AR1054">
        <v>0</v>
      </c>
      <c r="AS1054">
        <v>0</v>
      </c>
      <c r="AT1054">
        <v>0</v>
      </c>
      <c r="AU1054">
        <v>0</v>
      </c>
      <c r="AV1054">
        <v>0</v>
      </c>
      <c r="AW1054">
        <v>0</v>
      </c>
      <c r="AX1054">
        <v>0</v>
      </c>
      <c r="AY1054">
        <v>0</v>
      </c>
      <c r="AZ1054">
        <v>0</v>
      </c>
      <c r="BA1054">
        <v>0</v>
      </c>
      <c r="BB1054">
        <v>0</v>
      </c>
      <c r="BC1054">
        <v>0</v>
      </c>
      <c r="BD1054">
        <v>0</v>
      </c>
      <c r="BE1054">
        <v>0</v>
      </c>
      <c r="BF1054">
        <v>0</v>
      </c>
      <c r="BG1054">
        <v>0</v>
      </c>
      <c r="BH1054">
        <v>1</v>
      </c>
      <c r="BI1054">
        <v>5</v>
      </c>
      <c r="BJ1054">
        <v>1.8</v>
      </c>
      <c r="BK1054">
        <v>5</v>
      </c>
      <c r="BL1054">
        <v>190.11</v>
      </c>
      <c r="BM1054">
        <v>28.52</v>
      </c>
      <c r="BN1054">
        <v>218.63</v>
      </c>
      <c r="BO1054">
        <v>218.63</v>
      </c>
      <c r="BQ1054" t="s">
        <v>499</v>
      </c>
      <c r="BR1054" t="s">
        <v>82</v>
      </c>
      <c r="BS1054" s="3">
        <v>46000</v>
      </c>
      <c r="BT1054" s="4">
        <v>0.48055555555555557</v>
      </c>
      <c r="BU1054" t="s">
        <v>1817</v>
      </c>
      <c r="BV1054" t="s">
        <v>87</v>
      </c>
      <c r="BW1054" t="s">
        <v>246</v>
      </c>
      <c r="BX1054" t="s">
        <v>247</v>
      </c>
      <c r="BY1054">
        <v>8816</v>
      </c>
      <c r="CC1054" t="s">
        <v>101</v>
      </c>
      <c r="CD1054">
        <v>4052</v>
      </c>
      <c r="CE1054" t="s">
        <v>86</v>
      </c>
      <c r="CF1054" s="3">
        <v>46001</v>
      </c>
      <c r="CI1054">
        <v>1</v>
      </c>
      <c r="CJ1054">
        <v>1</v>
      </c>
      <c r="CK1054">
        <v>21</v>
      </c>
      <c r="CL1054" t="s">
        <v>87</v>
      </c>
    </row>
    <row r="1055" spans="1:90" x14ac:dyDescent="0.3">
      <c r="A1055" t="s">
        <v>72</v>
      </c>
      <c r="B1055" t="s">
        <v>73</v>
      </c>
      <c r="C1055" t="s">
        <v>74</v>
      </c>
      <c r="E1055" t="str">
        <f>"080069757166"</f>
        <v>080069757166</v>
      </c>
      <c r="F1055" s="3">
        <v>45999</v>
      </c>
      <c r="G1055">
        <v>202609</v>
      </c>
      <c r="H1055" t="s">
        <v>75</v>
      </c>
      <c r="I1055" t="s">
        <v>76</v>
      </c>
      <c r="J1055" t="s">
        <v>77</v>
      </c>
      <c r="K1055" t="s">
        <v>78</v>
      </c>
      <c r="L1055" t="s">
        <v>94</v>
      </c>
      <c r="M1055" t="s">
        <v>95</v>
      </c>
      <c r="N1055" t="s">
        <v>230</v>
      </c>
      <c r="O1055" t="s">
        <v>89</v>
      </c>
      <c r="P1055" t="str">
        <f>"4170072352                    "</f>
        <v xml:space="preserve">4170072352                    </v>
      </c>
      <c r="Q1055">
        <v>0</v>
      </c>
      <c r="R1055">
        <v>0</v>
      </c>
      <c r="S1055">
        <v>0</v>
      </c>
      <c r="T1055">
        <v>0</v>
      </c>
      <c r="U1055">
        <v>0</v>
      </c>
      <c r="V1055">
        <v>0</v>
      </c>
      <c r="W1055">
        <v>0</v>
      </c>
      <c r="X1055">
        <v>0</v>
      </c>
      <c r="Y1055">
        <v>0</v>
      </c>
      <c r="Z1055">
        <v>0</v>
      </c>
      <c r="AA1055">
        <v>0</v>
      </c>
      <c r="AB1055">
        <v>0</v>
      </c>
      <c r="AC1055">
        <v>0</v>
      </c>
      <c r="AD1055">
        <v>0</v>
      </c>
      <c r="AE1055">
        <v>0</v>
      </c>
      <c r="AF1055">
        <v>0</v>
      </c>
      <c r="AG1055">
        <v>0</v>
      </c>
      <c r="AH1055">
        <v>0</v>
      </c>
      <c r="AI1055">
        <v>0</v>
      </c>
      <c r="AJ1055">
        <v>0</v>
      </c>
      <c r="AK1055">
        <v>0</v>
      </c>
      <c r="AL1055">
        <v>0</v>
      </c>
      <c r="AM1055">
        <v>0</v>
      </c>
      <c r="AN1055">
        <v>0</v>
      </c>
      <c r="AO1055">
        <v>0</v>
      </c>
      <c r="AP1055">
        <v>0</v>
      </c>
      <c r="AQ1055">
        <v>25.52</v>
      </c>
      <c r="AR1055">
        <v>0</v>
      </c>
      <c r="AS1055">
        <v>0</v>
      </c>
      <c r="AT1055">
        <v>0</v>
      </c>
      <c r="AU1055">
        <v>0</v>
      </c>
      <c r="AV1055">
        <v>0</v>
      </c>
      <c r="AW1055">
        <v>0</v>
      </c>
      <c r="AX1055">
        <v>0</v>
      </c>
      <c r="AY1055">
        <v>0</v>
      </c>
      <c r="AZ1055">
        <v>0</v>
      </c>
      <c r="BA1055">
        <v>0</v>
      </c>
      <c r="BB1055">
        <v>0</v>
      </c>
      <c r="BC1055">
        <v>0</v>
      </c>
      <c r="BD1055">
        <v>0</v>
      </c>
      <c r="BE1055">
        <v>0</v>
      </c>
      <c r="BF1055">
        <v>0</v>
      </c>
      <c r="BG1055">
        <v>0</v>
      </c>
      <c r="BH1055">
        <v>1</v>
      </c>
      <c r="BI1055">
        <v>1</v>
      </c>
      <c r="BJ1055">
        <v>0.9</v>
      </c>
      <c r="BK1055">
        <v>1</v>
      </c>
      <c r="BL1055">
        <v>76.06</v>
      </c>
      <c r="BM1055">
        <v>11.41</v>
      </c>
      <c r="BN1055">
        <v>87.47</v>
      </c>
      <c r="BO1055">
        <v>87.47</v>
      </c>
      <c r="BQ1055" t="s">
        <v>231</v>
      </c>
      <c r="BR1055" t="s">
        <v>82</v>
      </c>
      <c r="BS1055" s="3">
        <v>46000</v>
      </c>
      <c r="BT1055" s="4">
        <v>0.39583333333333331</v>
      </c>
      <c r="BU1055" t="s">
        <v>1818</v>
      </c>
      <c r="BV1055" t="s">
        <v>84</v>
      </c>
      <c r="BY1055">
        <v>4275</v>
      </c>
      <c r="CA1055" t="s">
        <v>99</v>
      </c>
      <c r="CC1055" t="s">
        <v>95</v>
      </c>
      <c r="CD1055">
        <v>3608</v>
      </c>
      <c r="CE1055" t="s">
        <v>86</v>
      </c>
      <c r="CF1055" s="3">
        <v>46001</v>
      </c>
      <c r="CI1055">
        <v>1</v>
      </c>
      <c r="CJ1055">
        <v>1</v>
      </c>
      <c r="CK1055">
        <v>21</v>
      </c>
      <c r="CL1055" t="s">
        <v>87</v>
      </c>
    </row>
    <row r="1056" spans="1:90" x14ac:dyDescent="0.3">
      <c r="A1056" t="s">
        <v>72</v>
      </c>
      <c r="B1056" t="s">
        <v>73</v>
      </c>
      <c r="C1056" t="s">
        <v>74</v>
      </c>
      <c r="E1056" t="str">
        <f>"080069757383"</f>
        <v>080069757383</v>
      </c>
      <c r="F1056" s="3">
        <v>45999</v>
      </c>
      <c r="G1056">
        <v>202609</v>
      </c>
      <c r="H1056" t="s">
        <v>75</v>
      </c>
      <c r="I1056" t="s">
        <v>76</v>
      </c>
      <c r="J1056" t="s">
        <v>77</v>
      </c>
      <c r="K1056" t="s">
        <v>78</v>
      </c>
      <c r="L1056" t="s">
        <v>458</v>
      </c>
      <c r="M1056" t="s">
        <v>459</v>
      </c>
      <c r="N1056" t="s">
        <v>460</v>
      </c>
      <c r="O1056" t="s">
        <v>89</v>
      </c>
      <c r="P1056" t="str">
        <f>"4170072363                    "</f>
        <v xml:space="preserve">4170072363                    </v>
      </c>
      <c r="Q1056">
        <v>0</v>
      </c>
      <c r="R1056">
        <v>0</v>
      </c>
      <c r="S1056">
        <v>0</v>
      </c>
      <c r="T1056">
        <v>0</v>
      </c>
      <c r="U1056">
        <v>0</v>
      </c>
      <c r="V1056">
        <v>0</v>
      </c>
      <c r="W1056">
        <v>0</v>
      </c>
      <c r="X1056">
        <v>0</v>
      </c>
      <c r="Y1056">
        <v>0</v>
      </c>
      <c r="Z1056">
        <v>0</v>
      </c>
      <c r="AA1056">
        <v>0</v>
      </c>
      <c r="AB1056">
        <v>0</v>
      </c>
      <c r="AC1056">
        <v>0</v>
      </c>
      <c r="AD1056">
        <v>0</v>
      </c>
      <c r="AE1056">
        <v>0</v>
      </c>
      <c r="AF1056">
        <v>0</v>
      </c>
      <c r="AG1056">
        <v>0</v>
      </c>
      <c r="AH1056">
        <v>0</v>
      </c>
      <c r="AI1056">
        <v>0</v>
      </c>
      <c r="AJ1056">
        <v>0</v>
      </c>
      <c r="AK1056">
        <v>0</v>
      </c>
      <c r="AL1056">
        <v>0</v>
      </c>
      <c r="AM1056">
        <v>0</v>
      </c>
      <c r="AN1056">
        <v>0</v>
      </c>
      <c r="AO1056">
        <v>0</v>
      </c>
      <c r="AP1056">
        <v>0</v>
      </c>
      <c r="AQ1056">
        <v>49.45</v>
      </c>
      <c r="AR1056">
        <v>0</v>
      </c>
      <c r="AS1056">
        <v>0</v>
      </c>
      <c r="AT1056">
        <v>0</v>
      </c>
      <c r="AU1056">
        <v>0</v>
      </c>
      <c r="AV1056">
        <v>0</v>
      </c>
      <c r="AW1056">
        <v>0</v>
      </c>
      <c r="AX1056">
        <v>0</v>
      </c>
      <c r="AY1056">
        <v>0</v>
      </c>
      <c r="AZ1056">
        <v>0</v>
      </c>
      <c r="BA1056">
        <v>0</v>
      </c>
      <c r="BB1056">
        <v>0</v>
      </c>
      <c r="BC1056">
        <v>0</v>
      </c>
      <c r="BD1056">
        <v>0</v>
      </c>
      <c r="BE1056">
        <v>0</v>
      </c>
      <c r="BF1056">
        <v>0</v>
      </c>
      <c r="BG1056">
        <v>0</v>
      </c>
      <c r="BH1056">
        <v>1</v>
      </c>
      <c r="BI1056">
        <v>1</v>
      </c>
      <c r="BJ1056">
        <v>0.2</v>
      </c>
      <c r="BK1056">
        <v>1</v>
      </c>
      <c r="BL1056">
        <v>147.38</v>
      </c>
      <c r="BM1056">
        <v>22.11</v>
      </c>
      <c r="BN1056">
        <v>169.49</v>
      </c>
      <c r="BO1056">
        <v>169.49</v>
      </c>
      <c r="BQ1056" t="s">
        <v>461</v>
      </c>
      <c r="BR1056" t="s">
        <v>82</v>
      </c>
      <c r="BS1056" s="3">
        <v>46000</v>
      </c>
      <c r="BT1056" s="4">
        <v>0.49583333333333335</v>
      </c>
      <c r="BU1056" t="s">
        <v>1819</v>
      </c>
      <c r="BV1056" t="s">
        <v>84</v>
      </c>
      <c r="BY1056">
        <v>1200</v>
      </c>
      <c r="CA1056" t="s">
        <v>463</v>
      </c>
      <c r="CC1056" t="s">
        <v>459</v>
      </c>
      <c r="CD1056">
        <v>7130</v>
      </c>
      <c r="CE1056" t="s">
        <v>134</v>
      </c>
      <c r="CF1056" s="3">
        <v>46001</v>
      </c>
      <c r="CI1056">
        <v>1</v>
      </c>
      <c r="CJ1056">
        <v>1</v>
      </c>
      <c r="CK1056">
        <v>23</v>
      </c>
      <c r="CL1056" t="s">
        <v>87</v>
      </c>
    </row>
    <row r="1057" spans="1:90" x14ac:dyDescent="0.3">
      <c r="A1057" t="s">
        <v>72</v>
      </c>
      <c r="B1057" t="s">
        <v>73</v>
      </c>
      <c r="C1057" t="s">
        <v>74</v>
      </c>
      <c r="E1057" t="str">
        <f>"080069757404"</f>
        <v>080069757404</v>
      </c>
      <c r="F1057" s="3">
        <v>45999</v>
      </c>
      <c r="G1057">
        <v>202609</v>
      </c>
      <c r="H1057" t="s">
        <v>75</v>
      </c>
      <c r="I1057" t="s">
        <v>76</v>
      </c>
      <c r="J1057" t="s">
        <v>77</v>
      </c>
      <c r="K1057" t="s">
        <v>78</v>
      </c>
      <c r="L1057" t="s">
        <v>302</v>
      </c>
      <c r="M1057" t="s">
        <v>303</v>
      </c>
      <c r="N1057" t="s">
        <v>1056</v>
      </c>
      <c r="O1057" t="s">
        <v>89</v>
      </c>
      <c r="P1057" t="str">
        <f>"4170072331                    "</f>
        <v xml:space="preserve">4170072331                    </v>
      </c>
      <c r="Q1057">
        <v>0</v>
      </c>
      <c r="R1057">
        <v>0</v>
      </c>
      <c r="S1057">
        <v>0</v>
      </c>
      <c r="T1057">
        <v>0</v>
      </c>
      <c r="U1057">
        <v>0</v>
      </c>
      <c r="V1057">
        <v>0</v>
      </c>
      <c r="W1057">
        <v>0</v>
      </c>
      <c r="X1057">
        <v>0</v>
      </c>
      <c r="Y1057">
        <v>0</v>
      </c>
      <c r="Z1057">
        <v>0</v>
      </c>
      <c r="AA1057">
        <v>0</v>
      </c>
      <c r="AB1057">
        <v>0</v>
      </c>
      <c r="AC1057">
        <v>0</v>
      </c>
      <c r="AD1057">
        <v>0</v>
      </c>
      <c r="AE1057">
        <v>0</v>
      </c>
      <c r="AF1057">
        <v>0</v>
      </c>
      <c r="AG1057">
        <v>0</v>
      </c>
      <c r="AH1057">
        <v>0</v>
      </c>
      <c r="AI1057">
        <v>0</v>
      </c>
      <c r="AJ1057">
        <v>0</v>
      </c>
      <c r="AK1057">
        <v>0</v>
      </c>
      <c r="AL1057">
        <v>0</v>
      </c>
      <c r="AM1057">
        <v>0</v>
      </c>
      <c r="AN1057">
        <v>0</v>
      </c>
      <c r="AO1057">
        <v>0</v>
      </c>
      <c r="AP1057">
        <v>0</v>
      </c>
      <c r="AQ1057">
        <v>25.52</v>
      </c>
      <c r="AR1057">
        <v>0</v>
      </c>
      <c r="AS1057">
        <v>0</v>
      </c>
      <c r="AT1057">
        <v>0</v>
      </c>
      <c r="AU1057">
        <v>0</v>
      </c>
      <c r="AV1057">
        <v>0</v>
      </c>
      <c r="AW1057">
        <v>0</v>
      </c>
      <c r="AX1057">
        <v>0</v>
      </c>
      <c r="AY1057">
        <v>0</v>
      </c>
      <c r="AZ1057">
        <v>0</v>
      </c>
      <c r="BA1057">
        <v>0</v>
      </c>
      <c r="BB1057">
        <v>0</v>
      </c>
      <c r="BC1057">
        <v>0</v>
      </c>
      <c r="BD1057">
        <v>0</v>
      </c>
      <c r="BE1057">
        <v>0</v>
      </c>
      <c r="BF1057">
        <v>0</v>
      </c>
      <c r="BG1057">
        <v>0</v>
      </c>
      <c r="BH1057">
        <v>1</v>
      </c>
      <c r="BI1057">
        <v>1</v>
      </c>
      <c r="BJ1057">
        <v>0.2</v>
      </c>
      <c r="BK1057">
        <v>1</v>
      </c>
      <c r="BL1057">
        <v>76.06</v>
      </c>
      <c r="BM1057">
        <v>11.41</v>
      </c>
      <c r="BN1057">
        <v>87.47</v>
      </c>
      <c r="BO1057">
        <v>87.47</v>
      </c>
      <c r="BQ1057" t="s">
        <v>1057</v>
      </c>
      <c r="BR1057" t="s">
        <v>82</v>
      </c>
      <c r="BS1057" s="3">
        <v>46000</v>
      </c>
      <c r="BT1057" s="4">
        <v>0.47222222222222221</v>
      </c>
      <c r="BU1057" t="s">
        <v>1820</v>
      </c>
      <c r="BV1057" t="s">
        <v>87</v>
      </c>
      <c r="BW1057" t="s">
        <v>174</v>
      </c>
      <c r="BX1057" t="s">
        <v>1552</v>
      </c>
      <c r="BY1057">
        <v>1200</v>
      </c>
      <c r="CA1057">
        <v>8110305701087</v>
      </c>
      <c r="CC1057" t="s">
        <v>303</v>
      </c>
      <c r="CD1057" s="5" t="s">
        <v>933</v>
      </c>
      <c r="CE1057" t="s">
        <v>134</v>
      </c>
      <c r="CF1057" s="3">
        <v>46000</v>
      </c>
      <c r="CI1057">
        <v>1</v>
      </c>
      <c r="CJ1057">
        <v>1</v>
      </c>
      <c r="CK1057">
        <v>21</v>
      </c>
      <c r="CL1057" t="s">
        <v>87</v>
      </c>
    </row>
    <row r="1058" spans="1:90" x14ac:dyDescent="0.3">
      <c r="A1058" t="s">
        <v>72</v>
      </c>
      <c r="B1058" t="s">
        <v>73</v>
      </c>
      <c r="C1058" t="s">
        <v>74</v>
      </c>
      <c r="E1058" t="str">
        <f>"080069757431"</f>
        <v>080069757431</v>
      </c>
      <c r="F1058" s="3">
        <v>45999</v>
      </c>
      <c r="G1058">
        <v>202609</v>
      </c>
      <c r="H1058" t="s">
        <v>75</v>
      </c>
      <c r="I1058" t="s">
        <v>76</v>
      </c>
      <c r="J1058" t="s">
        <v>77</v>
      </c>
      <c r="K1058" t="s">
        <v>78</v>
      </c>
      <c r="L1058" t="s">
        <v>156</v>
      </c>
      <c r="M1058" t="s">
        <v>157</v>
      </c>
      <c r="N1058" t="s">
        <v>261</v>
      </c>
      <c r="O1058" t="s">
        <v>89</v>
      </c>
      <c r="P1058" t="str">
        <f>"4170072441                    "</f>
        <v xml:space="preserve">4170072441                    </v>
      </c>
      <c r="Q1058">
        <v>0</v>
      </c>
      <c r="R1058">
        <v>0</v>
      </c>
      <c r="S1058">
        <v>0</v>
      </c>
      <c r="T1058">
        <v>0</v>
      </c>
      <c r="U1058">
        <v>0</v>
      </c>
      <c r="V1058">
        <v>0</v>
      </c>
      <c r="W1058">
        <v>0</v>
      </c>
      <c r="X1058">
        <v>0</v>
      </c>
      <c r="Y1058">
        <v>0</v>
      </c>
      <c r="Z1058">
        <v>0</v>
      </c>
      <c r="AA1058">
        <v>0</v>
      </c>
      <c r="AB1058">
        <v>0</v>
      </c>
      <c r="AC1058">
        <v>0</v>
      </c>
      <c r="AD1058">
        <v>0</v>
      </c>
      <c r="AE1058">
        <v>0</v>
      </c>
      <c r="AF1058">
        <v>0</v>
      </c>
      <c r="AG1058">
        <v>0</v>
      </c>
      <c r="AH1058">
        <v>0</v>
      </c>
      <c r="AI1058">
        <v>0</v>
      </c>
      <c r="AJ1058">
        <v>0</v>
      </c>
      <c r="AK1058">
        <v>0</v>
      </c>
      <c r="AL1058">
        <v>0</v>
      </c>
      <c r="AM1058">
        <v>0</v>
      </c>
      <c r="AN1058">
        <v>0</v>
      </c>
      <c r="AO1058">
        <v>0</v>
      </c>
      <c r="AP1058">
        <v>0</v>
      </c>
      <c r="AQ1058">
        <v>25.52</v>
      </c>
      <c r="AR1058">
        <v>0</v>
      </c>
      <c r="AS1058">
        <v>0</v>
      </c>
      <c r="AT1058">
        <v>0</v>
      </c>
      <c r="AU1058">
        <v>0</v>
      </c>
      <c r="AV1058">
        <v>0</v>
      </c>
      <c r="AW1058">
        <v>0</v>
      </c>
      <c r="AX1058">
        <v>0</v>
      </c>
      <c r="AY1058">
        <v>0</v>
      </c>
      <c r="AZ1058">
        <v>0</v>
      </c>
      <c r="BA1058">
        <v>0</v>
      </c>
      <c r="BB1058">
        <v>0</v>
      </c>
      <c r="BC1058">
        <v>0</v>
      </c>
      <c r="BD1058">
        <v>0</v>
      </c>
      <c r="BE1058">
        <v>0</v>
      </c>
      <c r="BF1058">
        <v>0</v>
      </c>
      <c r="BG1058">
        <v>0</v>
      </c>
      <c r="BH1058">
        <v>1</v>
      </c>
      <c r="BI1058">
        <v>1</v>
      </c>
      <c r="BJ1058">
        <v>0.2</v>
      </c>
      <c r="BK1058">
        <v>1</v>
      </c>
      <c r="BL1058">
        <v>76.06</v>
      </c>
      <c r="BM1058">
        <v>11.41</v>
      </c>
      <c r="BN1058">
        <v>87.47</v>
      </c>
      <c r="BO1058">
        <v>87.47</v>
      </c>
      <c r="BQ1058" t="s">
        <v>262</v>
      </c>
      <c r="BR1058" t="s">
        <v>82</v>
      </c>
      <c r="BS1058" s="3">
        <v>46000</v>
      </c>
      <c r="BT1058" s="4">
        <v>0.40069444444444446</v>
      </c>
      <c r="BU1058" t="s">
        <v>1130</v>
      </c>
      <c r="BV1058" t="s">
        <v>84</v>
      </c>
      <c r="BY1058">
        <v>1200</v>
      </c>
      <c r="CA1058" t="s">
        <v>264</v>
      </c>
      <c r="CC1058" t="s">
        <v>157</v>
      </c>
      <c r="CD1058">
        <v>7441</v>
      </c>
      <c r="CE1058" t="s">
        <v>134</v>
      </c>
      <c r="CF1058" s="3">
        <v>46001</v>
      </c>
      <c r="CI1058">
        <v>1</v>
      </c>
      <c r="CJ1058">
        <v>1</v>
      </c>
      <c r="CK1058">
        <v>21</v>
      </c>
      <c r="CL1058" t="s">
        <v>87</v>
      </c>
    </row>
    <row r="1059" spans="1:90" x14ac:dyDescent="0.3">
      <c r="A1059" t="s">
        <v>72</v>
      </c>
      <c r="B1059" t="s">
        <v>73</v>
      </c>
      <c r="C1059" t="s">
        <v>74</v>
      </c>
      <c r="E1059" t="str">
        <f>"080069757460"</f>
        <v>080069757460</v>
      </c>
      <c r="F1059" s="3">
        <v>45999</v>
      </c>
      <c r="G1059">
        <v>202609</v>
      </c>
      <c r="H1059" t="s">
        <v>75</v>
      </c>
      <c r="I1059" t="s">
        <v>76</v>
      </c>
      <c r="J1059" t="s">
        <v>77</v>
      </c>
      <c r="K1059" t="s">
        <v>78</v>
      </c>
      <c r="L1059" t="s">
        <v>100</v>
      </c>
      <c r="M1059" t="s">
        <v>101</v>
      </c>
      <c r="N1059" t="s">
        <v>166</v>
      </c>
      <c r="O1059" t="s">
        <v>89</v>
      </c>
      <c r="P1059" t="str">
        <f>"4170072497                    "</f>
        <v xml:space="preserve">4170072497                    </v>
      </c>
      <c r="Q1059">
        <v>0</v>
      </c>
      <c r="R1059">
        <v>0</v>
      </c>
      <c r="S1059">
        <v>0</v>
      </c>
      <c r="T1059">
        <v>0</v>
      </c>
      <c r="U1059">
        <v>0</v>
      </c>
      <c r="V1059">
        <v>0</v>
      </c>
      <c r="W1059">
        <v>0</v>
      </c>
      <c r="X1059">
        <v>0</v>
      </c>
      <c r="Y1059">
        <v>0</v>
      </c>
      <c r="Z1059">
        <v>0</v>
      </c>
      <c r="AA1059">
        <v>0</v>
      </c>
      <c r="AB1059">
        <v>0</v>
      </c>
      <c r="AC1059">
        <v>0</v>
      </c>
      <c r="AD1059">
        <v>0</v>
      </c>
      <c r="AE1059">
        <v>0</v>
      </c>
      <c r="AF1059">
        <v>0</v>
      </c>
      <c r="AG1059">
        <v>0</v>
      </c>
      <c r="AH1059">
        <v>0</v>
      </c>
      <c r="AI1059">
        <v>0</v>
      </c>
      <c r="AJ1059">
        <v>0</v>
      </c>
      <c r="AK1059">
        <v>0</v>
      </c>
      <c r="AL1059">
        <v>0</v>
      </c>
      <c r="AM1059">
        <v>0</v>
      </c>
      <c r="AN1059">
        <v>0</v>
      </c>
      <c r="AO1059">
        <v>0</v>
      </c>
      <c r="AP1059">
        <v>0</v>
      </c>
      <c r="AQ1059">
        <v>25.52</v>
      </c>
      <c r="AR1059">
        <v>0</v>
      </c>
      <c r="AS1059">
        <v>0</v>
      </c>
      <c r="AT1059">
        <v>0</v>
      </c>
      <c r="AU1059">
        <v>0</v>
      </c>
      <c r="AV1059">
        <v>0</v>
      </c>
      <c r="AW1059">
        <v>0</v>
      </c>
      <c r="AX1059">
        <v>0</v>
      </c>
      <c r="AY1059">
        <v>0</v>
      </c>
      <c r="AZ1059">
        <v>0</v>
      </c>
      <c r="BA1059">
        <v>0</v>
      </c>
      <c r="BB1059">
        <v>0</v>
      </c>
      <c r="BC1059">
        <v>0</v>
      </c>
      <c r="BD1059">
        <v>0</v>
      </c>
      <c r="BE1059">
        <v>0</v>
      </c>
      <c r="BF1059">
        <v>0</v>
      </c>
      <c r="BG1059">
        <v>0</v>
      </c>
      <c r="BH1059">
        <v>1</v>
      </c>
      <c r="BI1059">
        <v>1</v>
      </c>
      <c r="BJ1059">
        <v>0.2</v>
      </c>
      <c r="BK1059">
        <v>1</v>
      </c>
      <c r="BL1059">
        <v>76.06</v>
      </c>
      <c r="BM1059">
        <v>11.41</v>
      </c>
      <c r="BN1059">
        <v>87.47</v>
      </c>
      <c r="BO1059">
        <v>87.47</v>
      </c>
      <c r="BQ1059" t="s">
        <v>167</v>
      </c>
      <c r="BR1059" t="s">
        <v>82</v>
      </c>
      <c r="BS1059" s="3">
        <v>46000</v>
      </c>
      <c r="BT1059" s="4">
        <v>0.38611111111111113</v>
      </c>
      <c r="BU1059" t="s">
        <v>928</v>
      </c>
      <c r="BV1059" t="s">
        <v>84</v>
      </c>
      <c r="BY1059">
        <v>1200</v>
      </c>
      <c r="CA1059" t="s">
        <v>929</v>
      </c>
      <c r="CC1059" t="s">
        <v>101</v>
      </c>
      <c r="CD1059">
        <v>4000</v>
      </c>
      <c r="CE1059" t="s">
        <v>134</v>
      </c>
      <c r="CF1059" s="3">
        <v>46000</v>
      </c>
      <c r="CI1059">
        <v>1</v>
      </c>
      <c r="CJ1059">
        <v>1</v>
      </c>
      <c r="CK1059">
        <v>21</v>
      </c>
      <c r="CL1059" t="s">
        <v>87</v>
      </c>
    </row>
    <row r="1060" spans="1:90" x14ac:dyDescent="0.3">
      <c r="A1060" t="s">
        <v>72</v>
      </c>
      <c r="B1060" t="s">
        <v>73</v>
      </c>
      <c r="C1060" t="s">
        <v>74</v>
      </c>
      <c r="E1060" t="str">
        <f>"080069757500"</f>
        <v>080069757500</v>
      </c>
      <c r="F1060" s="3">
        <v>45999</v>
      </c>
      <c r="G1060">
        <v>202609</v>
      </c>
      <c r="H1060" t="s">
        <v>75</v>
      </c>
      <c r="I1060" t="s">
        <v>76</v>
      </c>
      <c r="J1060" t="s">
        <v>77</v>
      </c>
      <c r="K1060" t="s">
        <v>78</v>
      </c>
      <c r="L1060" t="s">
        <v>302</v>
      </c>
      <c r="M1060" t="s">
        <v>303</v>
      </c>
      <c r="N1060" t="s">
        <v>1821</v>
      </c>
      <c r="O1060" t="s">
        <v>89</v>
      </c>
      <c r="P1060" t="str">
        <f>"4170072335                    "</f>
        <v xml:space="preserve">4170072335                    </v>
      </c>
      <c r="Q1060">
        <v>0</v>
      </c>
      <c r="R1060">
        <v>0</v>
      </c>
      <c r="S1060">
        <v>0</v>
      </c>
      <c r="T1060">
        <v>0</v>
      </c>
      <c r="U1060">
        <v>0</v>
      </c>
      <c r="V1060">
        <v>0</v>
      </c>
      <c r="W1060">
        <v>0</v>
      </c>
      <c r="X1060">
        <v>0</v>
      </c>
      <c r="Y1060">
        <v>0</v>
      </c>
      <c r="Z1060">
        <v>0</v>
      </c>
      <c r="AA1060">
        <v>0</v>
      </c>
      <c r="AB1060">
        <v>0</v>
      </c>
      <c r="AC1060">
        <v>0</v>
      </c>
      <c r="AD1060">
        <v>0</v>
      </c>
      <c r="AE1060">
        <v>0</v>
      </c>
      <c r="AF1060">
        <v>0</v>
      </c>
      <c r="AG1060">
        <v>0</v>
      </c>
      <c r="AH1060">
        <v>0</v>
      </c>
      <c r="AI1060">
        <v>0</v>
      </c>
      <c r="AJ1060">
        <v>0</v>
      </c>
      <c r="AK1060">
        <v>0</v>
      </c>
      <c r="AL1060">
        <v>0</v>
      </c>
      <c r="AM1060">
        <v>0</v>
      </c>
      <c r="AN1060">
        <v>0</v>
      </c>
      <c r="AO1060">
        <v>0</v>
      </c>
      <c r="AP1060">
        <v>0</v>
      </c>
      <c r="AQ1060">
        <v>25.52</v>
      </c>
      <c r="AR1060">
        <v>0</v>
      </c>
      <c r="AS1060">
        <v>0</v>
      </c>
      <c r="AT1060">
        <v>0</v>
      </c>
      <c r="AU1060">
        <v>0</v>
      </c>
      <c r="AV1060">
        <v>0</v>
      </c>
      <c r="AW1060">
        <v>0</v>
      </c>
      <c r="AX1060">
        <v>0</v>
      </c>
      <c r="AY1060">
        <v>0</v>
      </c>
      <c r="AZ1060">
        <v>0</v>
      </c>
      <c r="BA1060">
        <v>0</v>
      </c>
      <c r="BB1060">
        <v>0</v>
      </c>
      <c r="BC1060">
        <v>0</v>
      </c>
      <c r="BD1060">
        <v>0</v>
      </c>
      <c r="BE1060">
        <v>0</v>
      </c>
      <c r="BF1060">
        <v>0</v>
      </c>
      <c r="BG1060">
        <v>0</v>
      </c>
      <c r="BH1060">
        <v>1</v>
      </c>
      <c r="BI1060">
        <v>1</v>
      </c>
      <c r="BJ1060">
        <v>0.2</v>
      </c>
      <c r="BK1060">
        <v>1</v>
      </c>
      <c r="BL1060">
        <v>76.06</v>
      </c>
      <c r="BM1060">
        <v>11.41</v>
      </c>
      <c r="BN1060">
        <v>87.47</v>
      </c>
      <c r="BO1060">
        <v>87.47</v>
      </c>
      <c r="BQ1060" t="s">
        <v>1822</v>
      </c>
      <c r="BR1060" t="s">
        <v>82</v>
      </c>
      <c r="BS1060" s="3">
        <v>46000</v>
      </c>
      <c r="BT1060" s="4">
        <v>0.40277777777777779</v>
      </c>
      <c r="BU1060" t="s">
        <v>1823</v>
      </c>
      <c r="BV1060" t="s">
        <v>84</v>
      </c>
      <c r="BY1060">
        <v>1200</v>
      </c>
      <c r="CA1060">
        <v>8303236124087</v>
      </c>
      <c r="CC1060" t="s">
        <v>303</v>
      </c>
      <c r="CD1060" s="5" t="s">
        <v>307</v>
      </c>
      <c r="CE1060" t="s">
        <v>134</v>
      </c>
      <c r="CF1060" s="3">
        <v>46000</v>
      </c>
      <c r="CI1060">
        <v>1</v>
      </c>
      <c r="CJ1060">
        <v>1</v>
      </c>
      <c r="CK1060">
        <v>21</v>
      </c>
      <c r="CL1060" t="s">
        <v>87</v>
      </c>
    </row>
    <row r="1061" spans="1:90" x14ac:dyDescent="0.3">
      <c r="A1061" t="s">
        <v>72</v>
      </c>
      <c r="B1061" t="s">
        <v>73</v>
      </c>
      <c r="C1061" t="s">
        <v>74</v>
      </c>
      <c r="E1061" t="str">
        <f>"080069757583"</f>
        <v>080069757583</v>
      </c>
      <c r="F1061" s="3">
        <v>45999</v>
      </c>
      <c r="G1061">
        <v>202609</v>
      </c>
      <c r="H1061" t="s">
        <v>75</v>
      </c>
      <c r="I1061" t="s">
        <v>76</v>
      </c>
      <c r="J1061" t="s">
        <v>77</v>
      </c>
      <c r="K1061" t="s">
        <v>78</v>
      </c>
      <c r="L1061" t="s">
        <v>156</v>
      </c>
      <c r="M1061" t="s">
        <v>157</v>
      </c>
      <c r="N1061" t="s">
        <v>1824</v>
      </c>
      <c r="O1061" t="s">
        <v>89</v>
      </c>
      <c r="P1061" t="str">
        <f>"4170072336                    "</f>
        <v xml:space="preserve">4170072336                    </v>
      </c>
      <c r="Q1061">
        <v>0</v>
      </c>
      <c r="R1061">
        <v>0</v>
      </c>
      <c r="S1061">
        <v>0</v>
      </c>
      <c r="T1061">
        <v>0</v>
      </c>
      <c r="U1061">
        <v>0</v>
      </c>
      <c r="V1061">
        <v>0</v>
      </c>
      <c r="W1061">
        <v>0</v>
      </c>
      <c r="X1061">
        <v>0</v>
      </c>
      <c r="Y1061">
        <v>0</v>
      </c>
      <c r="Z1061">
        <v>0</v>
      </c>
      <c r="AA1061">
        <v>0</v>
      </c>
      <c r="AB1061">
        <v>0</v>
      </c>
      <c r="AC1061">
        <v>0</v>
      </c>
      <c r="AD1061">
        <v>0</v>
      </c>
      <c r="AE1061">
        <v>0</v>
      </c>
      <c r="AF1061">
        <v>0</v>
      </c>
      <c r="AG1061">
        <v>0</v>
      </c>
      <c r="AH1061">
        <v>0</v>
      </c>
      <c r="AI1061">
        <v>0</v>
      </c>
      <c r="AJ1061">
        <v>0</v>
      </c>
      <c r="AK1061">
        <v>0</v>
      </c>
      <c r="AL1061">
        <v>0</v>
      </c>
      <c r="AM1061">
        <v>0</v>
      </c>
      <c r="AN1061">
        <v>0</v>
      </c>
      <c r="AO1061">
        <v>0</v>
      </c>
      <c r="AP1061">
        <v>0</v>
      </c>
      <c r="AQ1061">
        <v>25.52</v>
      </c>
      <c r="AR1061">
        <v>0</v>
      </c>
      <c r="AS1061">
        <v>0</v>
      </c>
      <c r="AT1061">
        <v>0</v>
      </c>
      <c r="AU1061">
        <v>0</v>
      </c>
      <c r="AV1061">
        <v>0</v>
      </c>
      <c r="AW1061">
        <v>0</v>
      </c>
      <c r="AX1061">
        <v>0</v>
      </c>
      <c r="AY1061">
        <v>0</v>
      </c>
      <c r="AZ1061">
        <v>0</v>
      </c>
      <c r="BA1061">
        <v>0</v>
      </c>
      <c r="BB1061">
        <v>0</v>
      </c>
      <c r="BC1061">
        <v>0</v>
      </c>
      <c r="BD1061">
        <v>0</v>
      </c>
      <c r="BE1061">
        <v>0</v>
      </c>
      <c r="BF1061">
        <v>0</v>
      </c>
      <c r="BG1061">
        <v>0</v>
      </c>
      <c r="BH1061">
        <v>1</v>
      </c>
      <c r="BI1061">
        <v>1</v>
      </c>
      <c r="BJ1061">
        <v>2</v>
      </c>
      <c r="BK1061">
        <v>2</v>
      </c>
      <c r="BL1061">
        <v>76.06</v>
      </c>
      <c r="BM1061">
        <v>11.41</v>
      </c>
      <c r="BN1061">
        <v>87.47</v>
      </c>
      <c r="BO1061">
        <v>87.47</v>
      </c>
      <c r="BQ1061" t="s">
        <v>1825</v>
      </c>
      <c r="BR1061" t="s">
        <v>82</v>
      </c>
      <c r="BS1061" s="3">
        <v>46000</v>
      </c>
      <c r="BT1061" s="4">
        <v>0.47083333333333333</v>
      </c>
      <c r="BU1061" t="s">
        <v>1826</v>
      </c>
      <c r="BV1061" t="s">
        <v>84</v>
      </c>
      <c r="BY1061">
        <v>9900</v>
      </c>
      <c r="CA1061" t="s">
        <v>1209</v>
      </c>
      <c r="CC1061" t="s">
        <v>157</v>
      </c>
      <c r="CD1061">
        <v>7945</v>
      </c>
      <c r="CE1061" t="s">
        <v>86</v>
      </c>
      <c r="CF1061" s="3">
        <v>46001</v>
      </c>
      <c r="CI1061">
        <v>1</v>
      </c>
      <c r="CJ1061">
        <v>1</v>
      </c>
      <c r="CK1061">
        <v>21</v>
      </c>
      <c r="CL1061" t="s">
        <v>87</v>
      </c>
    </row>
    <row r="1062" spans="1:90" x14ac:dyDescent="0.3">
      <c r="A1062" t="s">
        <v>72</v>
      </c>
      <c r="B1062" t="s">
        <v>73</v>
      </c>
      <c r="C1062" t="s">
        <v>74</v>
      </c>
      <c r="E1062" t="str">
        <f>"080069757631"</f>
        <v>080069757631</v>
      </c>
      <c r="F1062" s="3">
        <v>45999</v>
      </c>
      <c r="G1062">
        <v>202609</v>
      </c>
      <c r="H1062" t="s">
        <v>75</v>
      </c>
      <c r="I1062" t="s">
        <v>76</v>
      </c>
      <c r="J1062" t="s">
        <v>77</v>
      </c>
      <c r="K1062" t="s">
        <v>78</v>
      </c>
      <c r="L1062" t="s">
        <v>94</v>
      </c>
      <c r="M1062" t="s">
        <v>95</v>
      </c>
      <c r="N1062" t="s">
        <v>357</v>
      </c>
      <c r="O1062" t="s">
        <v>89</v>
      </c>
      <c r="P1062" t="str">
        <f>"4170072340                    "</f>
        <v xml:space="preserve">4170072340                    </v>
      </c>
      <c r="Q1062">
        <v>0</v>
      </c>
      <c r="R1062">
        <v>0</v>
      </c>
      <c r="S1062">
        <v>0</v>
      </c>
      <c r="T1062">
        <v>0</v>
      </c>
      <c r="U1062">
        <v>0</v>
      </c>
      <c r="V1062">
        <v>0</v>
      </c>
      <c r="W1062">
        <v>0</v>
      </c>
      <c r="X1062">
        <v>0</v>
      </c>
      <c r="Y1062">
        <v>0</v>
      </c>
      <c r="Z1062">
        <v>0</v>
      </c>
      <c r="AA1062">
        <v>0</v>
      </c>
      <c r="AB1062">
        <v>0</v>
      </c>
      <c r="AC1062">
        <v>0</v>
      </c>
      <c r="AD1062">
        <v>0</v>
      </c>
      <c r="AE1062">
        <v>0</v>
      </c>
      <c r="AF1062">
        <v>0</v>
      </c>
      <c r="AG1062">
        <v>0</v>
      </c>
      <c r="AH1062">
        <v>0</v>
      </c>
      <c r="AI1062">
        <v>0</v>
      </c>
      <c r="AJ1062">
        <v>0</v>
      </c>
      <c r="AK1062">
        <v>0</v>
      </c>
      <c r="AL1062">
        <v>0</v>
      </c>
      <c r="AM1062">
        <v>0</v>
      </c>
      <c r="AN1062">
        <v>0</v>
      </c>
      <c r="AO1062">
        <v>0</v>
      </c>
      <c r="AP1062">
        <v>0</v>
      </c>
      <c r="AQ1062">
        <v>57.41</v>
      </c>
      <c r="AR1062">
        <v>0</v>
      </c>
      <c r="AS1062">
        <v>0</v>
      </c>
      <c r="AT1062">
        <v>0</v>
      </c>
      <c r="AU1062">
        <v>0</v>
      </c>
      <c r="AV1062">
        <v>0</v>
      </c>
      <c r="AW1062">
        <v>0</v>
      </c>
      <c r="AX1062">
        <v>0</v>
      </c>
      <c r="AY1062">
        <v>0</v>
      </c>
      <c r="AZ1062">
        <v>0</v>
      </c>
      <c r="BA1062">
        <v>0</v>
      </c>
      <c r="BB1062">
        <v>0</v>
      </c>
      <c r="BC1062">
        <v>0</v>
      </c>
      <c r="BD1062">
        <v>0</v>
      </c>
      <c r="BE1062">
        <v>0</v>
      </c>
      <c r="BF1062">
        <v>0</v>
      </c>
      <c r="BG1062">
        <v>0</v>
      </c>
      <c r="BH1062">
        <v>1</v>
      </c>
      <c r="BI1062">
        <v>2</v>
      </c>
      <c r="BJ1062">
        <v>4.0999999999999996</v>
      </c>
      <c r="BK1062">
        <v>4.5</v>
      </c>
      <c r="BL1062">
        <v>171.1</v>
      </c>
      <c r="BM1062">
        <v>25.67</v>
      </c>
      <c r="BN1062">
        <v>196.77</v>
      </c>
      <c r="BO1062">
        <v>196.77</v>
      </c>
      <c r="BQ1062" t="s">
        <v>1827</v>
      </c>
      <c r="BR1062" t="s">
        <v>82</v>
      </c>
      <c r="BS1062" s="3">
        <v>46000</v>
      </c>
      <c r="BT1062" s="4">
        <v>0.40694444444444444</v>
      </c>
      <c r="BU1062" t="s">
        <v>1828</v>
      </c>
      <c r="BV1062" t="s">
        <v>84</v>
      </c>
      <c r="BY1062">
        <v>20358</v>
      </c>
      <c r="CA1062" t="s">
        <v>929</v>
      </c>
      <c r="CC1062" t="s">
        <v>95</v>
      </c>
      <c r="CD1062">
        <v>3620</v>
      </c>
      <c r="CE1062" t="s">
        <v>86</v>
      </c>
      <c r="CF1062" s="3">
        <v>46000</v>
      </c>
      <c r="CI1062">
        <v>1</v>
      </c>
      <c r="CJ1062">
        <v>1</v>
      </c>
      <c r="CK1062">
        <v>21</v>
      </c>
      <c r="CL1062" t="s">
        <v>87</v>
      </c>
    </row>
    <row r="1063" spans="1:90" x14ac:dyDescent="0.3">
      <c r="A1063" t="s">
        <v>72</v>
      </c>
      <c r="B1063" t="s">
        <v>73</v>
      </c>
      <c r="C1063" t="s">
        <v>74</v>
      </c>
      <c r="E1063" t="str">
        <f>"080069757701"</f>
        <v>080069757701</v>
      </c>
      <c r="F1063" s="3">
        <v>45999</v>
      </c>
      <c r="G1063">
        <v>202609</v>
      </c>
      <c r="H1063" t="s">
        <v>75</v>
      </c>
      <c r="I1063" t="s">
        <v>76</v>
      </c>
      <c r="J1063" t="s">
        <v>77</v>
      </c>
      <c r="K1063" t="s">
        <v>78</v>
      </c>
      <c r="L1063" t="s">
        <v>156</v>
      </c>
      <c r="M1063" t="s">
        <v>157</v>
      </c>
      <c r="N1063" t="s">
        <v>665</v>
      </c>
      <c r="O1063" t="s">
        <v>89</v>
      </c>
      <c r="P1063" t="str">
        <f>"4170072364                    "</f>
        <v xml:space="preserve">4170072364                    </v>
      </c>
      <c r="Q1063">
        <v>0</v>
      </c>
      <c r="R1063">
        <v>0</v>
      </c>
      <c r="S1063">
        <v>0</v>
      </c>
      <c r="T1063">
        <v>0</v>
      </c>
      <c r="U1063">
        <v>0</v>
      </c>
      <c r="V1063">
        <v>0</v>
      </c>
      <c r="W1063">
        <v>0</v>
      </c>
      <c r="X1063">
        <v>0</v>
      </c>
      <c r="Y1063">
        <v>0</v>
      </c>
      <c r="Z1063">
        <v>0</v>
      </c>
      <c r="AA1063">
        <v>0</v>
      </c>
      <c r="AB1063">
        <v>0</v>
      </c>
      <c r="AC1063">
        <v>0</v>
      </c>
      <c r="AD1063">
        <v>0</v>
      </c>
      <c r="AE1063">
        <v>0</v>
      </c>
      <c r="AF1063">
        <v>0</v>
      </c>
      <c r="AG1063">
        <v>0</v>
      </c>
      <c r="AH1063">
        <v>0</v>
      </c>
      <c r="AI1063">
        <v>0</v>
      </c>
      <c r="AJ1063">
        <v>0</v>
      </c>
      <c r="AK1063">
        <v>0</v>
      </c>
      <c r="AL1063">
        <v>0</v>
      </c>
      <c r="AM1063">
        <v>0</v>
      </c>
      <c r="AN1063">
        <v>0</v>
      </c>
      <c r="AO1063">
        <v>0</v>
      </c>
      <c r="AP1063">
        <v>0</v>
      </c>
      <c r="AQ1063">
        <v>25.52</v>
      </c>
      <c r="AR1063">
        <v>0</v>
      </c>
      <c r="AS1063">
        <v>0</v>
      </c>
      <c r="AT1063">
        <v>0</v>
      </c>
      <c r="AU1063">
        <v>0</v>
      </c>
      <c r="AV1063">
        <v>0</v>
      </c>
      <c r="AW1063">
        <v>0</v>
      </c>
      <c r="AX1063">
        <v>0</v>
      </c>
      <c r="AY1063">
        <v>0</v>
      </c>
      <c r="AZ1063">
        <v>0</v>
      </c>
      <c r="BA1063">
        <v>0</v>
      </c>
      <c r="BB1063">
        <v>0</v>
      </c>
      <c r="BC1063">
        <v>0</v>
      </c>
      <c r="BD1063">
        <v>0</v>
      </c>
      <c r="BE1063">
        <v>0</v>
      </c>
      <c r="BF1063">
        <v>0</v>
      </c>
      <c r="BG1063">
        <v>0</v>
      </c>
      <c r="BH1063">
        <v>1</v>
      </c>
      <c r="BI1063">
        <v>1</v>
      </c>
      <c r="BJ1063">
        <v>2</v>
      </c>
      <c r="BK1063">
        <v>2</v>
      </c>
      <c r="BL1063">
        <v>76.06</v>
      </c>
      <c r="BM1063">
        <v>11.41</v>
      </c>
      <c r="BN1063">
        <v>87.47</v>
      </c>
      <c r="BO1063">
        <v>87.47</v>
      </c>
      <c r="BQ1063" t="s">
        <v>666</v>
      </c>
      <c r="BR1063" t="s">
        <v>82</v>
      </c>
      <c r="BS1063" s="3">
        <v>46000</v>
      </c>
      <c r="BT1063" s="4">
        <v>0.62222222222222223</v>
      </c>
      <c r="BU1063" t="s">
        <v>1578</v>
      </c>
      <c r="BV1063" t="s">
        <v>87</v>
      </c>
      <c r="BW1063" t="s">
        <v>153</v>
      </c>
      <c r="BX1063" t="s">
        <v>154</v>
      </c>
      <c r="BY1063">
        <v>9900</v>
      </c>
      <c r="CA1063" t="s">
        <v>668</v>
      </c>
      <c r="CC1063" t="s">
        <v>157</v>
      </c>
      <c r="CD1063">
        <v>7550</v>
      </c>
      <c r="CE1063" t="s">
        <v>86</v>
      </c>
      <c r="CF1063" s="3">
        <v>46001</v>
      </c>
      <c r="CI1063">
        <v>1</v>
      </c>
      <c r="CJ1063">
        <v>1</v>
      </c>
      <c r="CK1063">
        <v>21</v>
      </c>
      <c r="CL1063" t="s">
        <v>87</v>
      </c>
    </row>
    <row r="1064" spans="1:90" x14ac:dyDescent="0.3">
      <c r="A1064" t="s">
        <v>72</v>
      </c>
      <c r="B1064" t="s">
        <v>73</v>
      </c>
      <c r="C1064" t="s">
        <v>74</v>
      </c>
      <c r="E1064" t="str">
        <f>"080069757706"</f>
        <v>080069757706</v>
      </c>
      <c r="F1064" s="3">
        <v>45999</v>
      </c>
      <c r="G1064">
        <v>202609</v>
      </c>
      <c r="H1064" t="s">
        <v>75</v>
      </c>
      <c r="I1064" t="s">
        <v>76</v>
      </c>
      <c r="J1064" t="s">
        <v>77</v>
      </c>
      <c r="K1064" t="s">
        <v>78</v>
      </c>
      <c r="L1064" t="s">
        <v>141</v>
      </c>
      <c r="M1064" t="s">
        <v>142</v>
      </c>
      <c r="N1064" t="s">
        <v>675</v>
      </c>
      <c r="O1064" t="s">
        <v>89</v>
      </c>
      <c r="P1064" t="str">
        <f>"4170072448                    "</f>
        <v xml:space="preserve">4170072448                    </v>
      </c>
      <c r="Q1064">
        <v>0</v>
      </c>
      <c r="R1064">
        <v>0</v>
      </c>
      <c r="S1064">
        <v>0</v>
      </c>
      <c r="T1064">
        <v>0</v>
      </c>
      <c r="U1064">
        <v>0</v>
      </c>
      <c r="V1064">
        <v>0</v>
      </c>
      <c r="W1064">
        <v>0</v>
      </c>
      <c r="X1064">
        <v>0</v>
      </c>
      <c r="Y1064">
        <v>0</v>
      </c>
      <c r="Z1064">
        <v>0</v>
      </c>
      <c r="AA1064">
        <v>0</v>
      </c>
      <c r="AB1064">
        <v>0</v>
      </c>
      <c r="AC1064">
        <v>0</v>
      </c>
      <c r="AD1064">
        <v>0</v>
      </c>
      <c r="AE1064">
        <v>0</v>
      </c>
      <c r="AF1064">
        <v>0</v>
      </c>
      <c r="AG1064">
        <v>0</v>
      </c>
      <c r="AH1064">
        <v>0</v>
      </c>
      <c r="AI1064">
        <v>0</v>
      </c>
      <c r="AJ1064">
        <v>0</v>
      </c>
      <c r="AK1064">
        <v>0</v>
      </c>
      <c r="AL1064">
        <v>0</v>
      </c>
      <c r="AM1064">
        <v>0</v>
      </c>
      <c r="AN1064">
        <v>0</v>
      </c>
      <c r="AO1064">
        <v>0</v>
      </c>
      <c r="AP1064">
        <v>0</v>
      </c>
      <c r="AQ1064">
        <v>89.3</v>
      </c>
      <c r="AR1064">
        <v>0</v>
      </c>
      <c r="AS1064">
        <v>0</v>
      </c>
      <c r="AT1064">
        <v>0</v>
      </c>
      <c r="AU1064">
        <v>0</v>
      </c>
      <c r="AV1064">
        <v>0</v>
      </c>
      <c r="AW1064">
        <v>0</v>
      </c>
      <c r="AX1064">
        <v>0</v>
      </c>
      <c r="AY1064">
        <v>0</v>
      </c>
      <c r="AZ1064">
        <v>0</v>
      </c>
      <c r="BA1064">
        <v>0</v>
      </c>
      <c r="BB1064">
        <v>0</v>
      </c>
      <c r="BC1064">
        <v>0</v>
      </c>
      <c r="BD1064">
        <v>0</v>
      </c>
      <c r="BE1064">
        <v>0</v>
      </c>
      <c r="BF1064">
        <v>0</v>
      </c>
      <c r="BG1064">
        <v>0</v>
      </c>
      <c r="BH1064">
        <v>1</v>
      </c>
      <c r="BI1064">
        <v>7</v>
      </c>
      <c r="BJ1064">
        <v>1.5</v>
      </c>
      <c r="BK1064">
        <v>7</v>
      </c>
      <c r="BL1064">
        <v>266.14</v>
      </c>
      <c r="BM1064">
        <v>39.92</v>
      </c>
      <c r="BN1064">
        <v>306.06</v>
      </c>
      <c r="BO1064">
        <v>306.06</v>
      </c>
      <c r="BQ1064" t="s">
        <v>676</v>
      </c>
      <c r="BR1064" t="s">
        <v>82</v>
      </c>
      <c r="BS1064" s="3">
        <v>46000</v>
      </c>
      <c r="BT1064" s="4">
        <v>0.43055555555555558</v>
      </c>
      <c r="BU1064" t="s">
        <v>1693</v>
      </c>
      <c r="BV1064" t="s">
        <v>84</v>
      </c>
      <c r="BY1064">
        <v>7740</v>
      </c>
      <c r="CA1064" t="s">
        <v>1228</v>
      </c>
      <c r="CC1064" t="s">
        <v>142</v>
      </c>
      <c r="CD1064">
        <v>6001</v>
      </c>
      <c r="CE1064" t="s">
        <v>93</v>
      </c>
      <c r="CF1064" s="3">
        <v>46000</v>
      </c>
      <c r="CI1064">
        <v>1</v>
      </c>
      <c r="CJ1064">
        <v>1</v>
      </c>
      <c r="CK1064">
        <v>21</v>
      </c>
      <c r="CL1064" t="s">
        <v>87</v>
      </c>
    </row>
    <row r="1065" spans="1:90" x14ac:dyDescent="0.3">
      <c r="A1065" t="s">
        <v>72</v>
      </c>
      <c r="B1065" t="s">
        <v>73</v>
      </c>
      <c r="C1065" t="s">
        <v>74</v>
      </c>
      <c r="E1065" t="str">
        <f>"080069757752"</f>
        <v>080069757752</v>
      </c>
      <c r="F1065" s="3">
        <v>45999</v>
      </c>
      <c r="G1065">
        <v>202609</v>
      </c>
      <c r="H1065" t="s">
        <v>75</v>
      </c>
      <c r="I1065" t="s">
        <v>76</v>
      </c>
      <c r="J1065" t="s">
        <v>77</v>
      </c>
      <c r="K1065" t="s">
        <v>78</v>
      </c>
      <c r="L1065" t="s">
        <v>781</v>
      </c>
      <c r="M1065" t="s">
        <v>782</v>
      </c>
      <c r="N1065" t="s">
        <v>887</v>
      </c>
      <c r="O1065" t="s">
        <v>89</v>
      </c>
      <c r="P1065" t="str">
        <f>"4170072327                    "</f>
        <v xml:space="preserve">4170072327                    </v>
      </c>
      <c r="Q1065">
        <v>0</v>
      </c>
      <c r="R1065">
        <v>0</v>
      </c>
      <c r="S1065">
        <v>0</v>
      </c>
      <c r="T1065">
        <v>0</v>
      </c>
      <c r="U1065">
        <v>0</v>
      </c>
      <c r="V1065">
        <v>0</v>
      </c>
      <c r="W1065">
        <v>0</v>
      </c>
      <c r="X1065">
        <v>0</v>
      </c>
      <c r="Y1065">
        <v>0</v>
      </c>
      <c r="Z1065">
        <v>0</v>
      </c>
      <c r="AA1065">
        <v>0</v>
      </c>
      <c r="AB1065">
        <v>0</v>
      </c>
      <c r="AC1065">
        <v>0</v>
      </c>
      <c r="AD1065">
        <v>0</v>
      </c>
      <c r="AE1065">
        <v>0</v>
      </c>
      <c r="AF1065">
        <v>0</v>
      </c>
      <c r="AG1065">
        <v>0</v>
      </c>
      <c r="AH1065">
        <v>0</v>
      </c>
      <c r="AI1065">
        <v>0</v>
      </c>
      <c r="AJ1065">
        <v>0</v>
      </c>
      <c r="AK1065">
        <v>0</v>
      </c>
      <c r="AL1065">
        <v>0</v>
      </c>
      <c r="AM1065">
        <v>0</v>
      </c>
      <c r="AN1065">
        <v>0</v>
      </c>
      <c r="AO1065">
        <v>0</v>
      </c>
      <c r="AP1065">
        <v>0</v>
      </c>
      <c r="AQ1065">
        <v>25.52</v>
      </c>
      <c r="AR1065">
        <v>0</v>
      </c>
      <c r="AS1065">
        <v>0</v>
      </c>
      <c r="AT1065">
        <v>0</v>
      </c>
      <c r="AU1065">
        <v>0</v>
      </c>
      <c r="AV1065">
        <v>0</v>
      </c>
      <c r="AW1065">
        <v>0</v>
      </c>
      <c r="AX1065">
        <v>0</v>
      </c>
      <c r="AY1065">
        <v>0</v>
      </c>
      <c r="AZ1065">
        <v>0</v>
      </c>
      <c r="BA1065">
        <v>0</v>
      </c>
      <c r="BB1065">
        <v>0</v>
      </c>
      <c r="BC1065">
        <v>0</v>
      </c>
      <c r="BD1065">
        <v>0</v>
      </c>
      <c r="BE1065">
        <v>0</v>
      </c>
      <c r="BF1065">
        <v>0</v>
      </c>
      <c r="BG1065">
        <v>0</v>
      </c>
      <c r="BH1065">
        <v>1</v>
      </c>
      <c r="BI1065">
        <v>2</v>
      </c>
      <c r="BJ1065">
        <v>0.9</v>
      </c>
      <c r="BK1065">
        <v>2</v>
      </c>
      <c r="BL1065">
        <v>76.06</v>
      </c>
      <c r="BM1065">
        <v>11.41</v>
      </c>
      <c r="BN1065">
        <v>87.47</v>
      </c>
      <c r="BO1065">
        <v>87.47</v>
      </c>
      <c r="BQ1065" t="s">
        <v>888</v>
      </c>
      <c r="BR1065" t="s">
        <v>82</v>
      </c>
      <c r="BS1065" s="3">
        <v>46000</v>
      </c>
      <c r="BT1065" s="4">
        <v>0.77777777777777779</v>
      </c>
      <c r="BU1065" t="s">
        <v>1648</v>
      </c>
      <c r="BV1065" t="s">
        <v>87</v>
      </c>
      <c r="BW1065" t="s">
        <v>246</v>
      </c>
      <c r="BX1065" t="s">
        <v>1728</v>
      </c>
      <c r="BY1065">
        <v>4256</v>
      </c>
      <c r="CA1065" t="s">
        <v>630</v>
      </c>
      <c r="CC1065" t="s">
        <v>782</v>
      </c>
      <c r="CD1065">
        <v>4133</v>
      </c>
      <c r="CE1065" t="s">
        <v>86</v>
      </c>
      <c r="CF1065" s="3">
        <v>46001</v>
      </c>
      <c r="CI1065">
        <v>1</v>
      </c>
      <c r="CJ1065">
        <v>1</v>
      </c>
      <c r="CK1065">
        <v>21</v>
      </c>
      <c r="CL1065" t="s">
        <v>87</v>
      </c>
    </row>
    <row r="1066" spans="1:90" x14ac:dyDescent="0.3">
      <c r="A1066" t="s">
        <v>72</v>
      </c>
      <c r="B1066" t="s">
        <v>73</v>
      </c>
      <c r="C1066" t="s">
        <v>74</v>
      </c>
      <c r="E1066" t="str">
        <f>"080069757750"</f>
        <v>080069757750</v>
      </c>
      <c r="F1066" s="3">
        <v>45999</v>
      </c>
      <c r="G1066">
        <v>202609</v>
      </c>
      <c r="H1066" t="s">
        <v>75</v>
      </c>
      <c r="I1066" t="s">
        <v>76</v>
      </c>
      <c r="J1066" t="s">
        <v>77</v>
      </c>
      <c r="K1066" t="s">
        <v>78</v>
      </c>
      <c r="L1066" t="s">
        <v>535</v>
      </c>
      <c r="M1066" t="s">
        <v>535</v>
      </c>
      <c r="N1066" t="s">
        <v>772</v>
      </c>
      <c r="O1066" t="s">
        <v>89</v>
      </c>
      <c r="P1066" t="str">
        <f>"4170072450                    "</f>
        <v xml:space="preserve">4170072450                    </v>
      </c>
      <c r="Q1066">
        <v>0</v>
      </c>
      <c r="R1066">
        <v>0</v>
      </c>
      <c r="S1066">
        <v>0</v>
      </c>
      <c r="T1066">
        <v>0</v>
      </c>
      <c r="U1066">
        <v>0</v>
      </c>
      <c r="V1066">
        <v>0</v>
      </c>
      <c r="W1066">
        <v>0</v>
      </c>
      <c r="X1066">
        <v>0</v>
      </c>
      <c r="Y1066">
        <v>0</v>
      </c>
      <c r="Z1066">
        <v>0</v>
      </c>
      <c r="AA1066">
        <v>0</v>
      </c>
      <c r="AB1066">
        <v>0</v>
      </c>
      <c r="AC1066">
        <v>0</v>
      </c>
      <c r="AD1066">
        <v>0</v>
      </c>
      <c r="AE1066">
        <v>0</v>
      </c>
      <c r="AF1066">
        <v>0</v>
      </c>
      <c r="AG1066">
        <v>0</v>
      </c>
      <c r="AH1066">
        <v>0</v>
      </c>
      <c r="AI1066">
        <v>0</v>
      </c>
      <c r="AJ1066">
        <v>0</v>
      </c>
      <c r="AK1066">
        <v>0</v>
      </c>
      <c r="AL1066">
        <v>0</v>
      </c>
      <c r="AM1066">
        <v>0</v>
      </c>
      <c r="AN1066">
        <v>0</v>
      </c>
      <c r="AO1066">
        <v>0</v>
      </c>
      <c r="AP1066">
        <v>0</v>
      </c>
      <c r="AQ1066">
        <v>49.45</v>
      </c>
      <c r="AR1066">
        <v>0</v>
      </c>
      <c r="AS1066">
        <v>0</v>
      </c>
      <c r="AT1066">
        <v>0</v>
      </c>
      <c r="AU1066">
        <v>0</v>
      </c>
      <c r="AV1066">
        <v>0</v>
      </c>
      <c r="AW1066">
        <v>0</v>
      </c>
      <c r="AX1066">
        <v>0</v>
      </c>
      <c r="AY1066">
        <v>0</v>
      </c>
      <c r="AZ1066">
        <v>0</v>
      </c>
      <c r="BA1066">
        <v>0</v>
      </c>
      <c r="BB1066">
        <v>0</v>
      </c>
      <c r="BC1066">
        <v>0</v>
      </c>
      <c r="BD1066">
        <v>0</v>
      </c>
      <c r="BE1066">
        <v>0</v>
      </c>
      <c r="BF1066">
        <v>0</v>
      </c>
      <c r="BG1066">
        <v>0</v>
      </c>
      <c r="BH1066">
        <v>1</v>
      </c>
      <c r="BI1066">
        <v>1</v>
      </c>
      <c r="BJ1066">
        <v>0.2</v>
      </c>
      <c r="BK1066">
        <v>1</v>
      </c>
      <c r="BL1066">
        <v>147.38</v>
      </c>
      <c r="BM1066">
        <v>22.11</v>
      </c>
      <c r="BN1066">
        <v>169.49</v>
      </c>
      <c r="BO1066">
        <v>169.49</v>
      </c>
      <c r="BQ1066" t="s">
        <v>773</v>
      </c>
      <c r="BR1066" t="s">
        <v>82</v>
      </c>
      <c r="BS1066" s="3">
        <v>46000</v>
      </c>
      <c r="BT1066" s="4">
        <v>0.53819444444444442</v>
      </c>
      <c r="BU1066" t="s">
        <v>984</v>
      </c>
      <c r="BV1066" t="s">
        <v>84</v>
      </c>
      <c r="BY1066">
        <v>1200</v>
      </c>
      <c r="CA1066" t="s">
        <v>539</v>
      </c>
      <c r="CC1066" t="s">
        <v>535</v>
      </c>
      <c r="CD1066">
        <v>7646</v>
      </c>
      <c r="CE1066" t="s">
        <v>134</v>
      </c>
      <c r="CF1066" s="3">
        <v>46001</v>
      </c>
      <c r="CI1066">
        <v>1</v>
      </c>
      <c r="CJ1066">
        <v>1</v>
      </c>
      <c r="CK1066">
        <v>23</v>
      </c>
      <c r="CL1066" t="s">
        <v>87</v>
      </c>
    </row>
    <row r="1067" spans="1:90" x14ac:dyDescent="0.3">
      <c r="A1067" t="s">
        <v>72</v>
      </c>
      <c r="B1067" t="s">
        <v>73</v>
      </c>
      <c r="C1067" t="s">
        <v>74</v>
      </c>
      <c r="E1067" t="str">
        <f>"080069757775"</f>
        <v>080069757775</v>
      </c>
      <c r="F1067" s="3">
        <v>45999</v>
      </c>
      <c r="G1067">
        <v>202609</v>
      </c>
      <c r="H1067" t="s">
        <v>75</v>
      </c>
      <c r="I1067" t="s">
        <v>76</v>
      </c>
      <c r="J1067" t="s">
        <v>77</v>
      </c>
      <c r="K1067" t="s">
        <v>78</v>
      </c>
      <c r="L1067" t="s">
        <v>528</v>
      </c>
      <c r="M1067" t="s">
        <v>529</v>
      </c>
      <c r="N1067" t="s">
        <v>1131</v>
      </c>
      <c r="O1067" t="s">
        <v>89</v>
      </c>
      <c r="P1067" t="str">
        <f>"4170072381                    "</f>
        <v xml:space="preserve">4170072381                    </v>
      </c>
      <c r="Q1067">
        <v>0</v>
      </c>
      <c r="R1067">
        <v>0</v>
      </c>
      <c r="S1067">
        <v>0</v>
      </c>
      <c r="T1067">
        <v>0</v>
      </c>
      <c r="U1067">
        <v>0</v>
      </c>
      <c r="V1067">
        <v>0</v>
      </c>
      <c r="W1067">
        <v>0</v>
      </c>
      <c r="X1067">
        <v>0</v>
      </c>
      <c r="Y1067">
        <v>0</v>
      </c>
      <c r="Z1067">
        <v>0</v>
      </c>
      <c r="AA1067">
        <v>0</v>
      </c>
      <c r="AB1067">
        <v>0</v>
      </c>
      <c r="AC1067">
        <v>0</v>
      </c>
      <c r="AD1067">
        <v>0</v>
      </c>
      <c r="AE1067">
        <v>0</v>
      </c>
      <c r="AF1067">
        <v>0</v>
      </c>
      <c r="AG1067">
        <v>0</v>
      </c>
      <c r="AH1067">
        <v>0</v>
      </c>
      <c r="AI1067">
        <v>0</v>
      </c>
      <c r="AJ1067">
        <v>0</v>
      </c>
      <c r="AK1067">
        <v>0</v>
      </c>
      <c r="AL1067">
        <v>0</v>
      </c>
      <c r="AM1067">
        <v>0</v>
      </c>
      <c r="AN1067">
        <v>0</v>
      </c>
      <c r="AO1067">
        <v>0</v>
      </c>
      <c r="AP1067">
        <v>0</v>
      </c>
      <c r="AQ1067">
        <v>94.12</v>
      </c>
      <c r="AR1067">
        <v>0</v>
      </c>
      <c r="AS1067">
        <v>0</v>
      </c>
      <c r="AT1067">
        <v>0</v>
      </c>
      <c r="AU1067">
        <v>0</v>
      </c>
      <c r="AV1067">
        <v>0</v>
      </c>
      <c r="AW1067">
        <v>17.41</v>
      </c>
      <c r="AX1067">
        <v>0</v>
      </c>
      <c r="AY1067">
        <v>0</v>
      </c>
      <c r="AZ1067">
        <v>0</v>
      </c>
      <c r="BA1067">
        <v>0</v>
      </c>
      <c r="BB1067">
        <v>0</v>
      </c>
      <c r="BC1067">
        <v>0</v>
      </c>
      <c r="BD1067">
        <v>0</v>
      </c>
      <c r="BE1067">
        <v>0</v>
      </c>
      <c r="BF1067">
        <v>0</v>
      </c>
      <c r="BG1067">
        <v>0</v>
      </c>
      <c r="BH1067">
        <v>1</v>
      </c>
      <c r="BI1067">
        <v>3</v>
      </c>
      <c r="BJ1067">
        <v>3.8</v>
      </c>
      <c r="BK1067">
        <v>4</v>
      </c>
      <c r="BL1067">
        <v>297.89999999999998</v>
      </c>
      <c r="BM1067">
        <v>44.69</v>
      </c>
      <c r="BN1067">
        <v>342.59</v>
      </c>
      <c r="BO1067">
        <v>342.59</v>
      </c>
      <c r="BQ1067" t="s">
        <v>1132</v>
      </c>
      <c r="BR1067" t="s">
        <v>82</v>
      </c>
      <c r="BS1067" s="3">
        <v>46001</v>
      </c>
      <c r="BT1067" s="4">
        <v>0.46527777777777779</v>
      </c>
      <c r="BU1067" t="s">
        <v>1133</v>
      </c>
      <c r="BV1067" t="s">
        <v>87</v>
      </c>
      <c r="BW1067" t="s">
        <v>1829</v>
      </c>
      <c r="BX1067" t="s">
        <v>1830</v>
      </c>
      <c r="BY1067">
        <v>19166</v>
      </c>
      <c r="BZ1067" t="s">
        <v>30</v>
      </c>
      <c r="CC1067" t="s">
        <v>529</v>
      </c>
      <c r="CD1067" s="5" t="s">
        <v>1134</v>
      </c>
      <c r="CE1067" t="s">
        <v>229</v>
      </c>
      <c r="CF1067" s="3">
        <v>46002</v>
      </c>
      <c r="CI1067">
        <v>1</v>
      </c>
      <c r="CJ1067">
        <v>2</v>
      </c>
      <c r="CK1067">
        <v>23</v>
      </c>
      <c r="CL1067" t="s">
        <v>87</v>
      </c>
    </row>
    <row r="1068" spans="1:90" x14ac:dyDescent="0.3">
      <c r="A1068" t="s">
        <v>72</v>
      </c>
      <c r="B1068" t="s">
        <v>73</v>
      </c>
      <c r="C1068" t="s">
        <v>74</v>
      </c>
      <c r="E1068" t="str">
        <f>"080069757856"</f>
        <v>080069757856</v>
      </c>
      <c r="F1068" s="3">
        <v>45999</v>
      </c>
      <c r="G1068">
        <v>202609</v>
      </c>
      <c r="H1068" t="s">
        <v>75</v>
      </c>
      <c r="I1068" t="s">
        <v>76</v>
      </c>
      <c r="J1068" t="s">
        <v>77</v>
      </c>
      <c r="K1068" t="s">
        <v>78</v>
      </c>
      <c r="L1068" t="s">
        <v>100</v>
      </c>
      <c r="M1068" t="s">
        <v>101</v>
      </c>
      <c r="N1068" t="s">
        <v>102</v>
      </c>
      <c r="O1068" t="s">
        <v>89</v>
      </c>
      <c r="P1068" t="str">
        <f>"4170072484                    "</f>
        <v xml:space="preserve">4170072484                    </v>
      </c>
      <c r="Q1068">
        <v>0</v>
      </c>
      <c r="R1068">
        <v>0</v>
      </c>
      <c r="S1068">
        <v>0</v>
      </c>
      <c r="T1068">
        <v>0</v>
      </c>
      <c r="U1068">
        <v>0</v>
      </c>
      <c r="V1068">
        <v>0</v>
      </c>
      <c r="W1068">
        <v>0</v>
      </c>
      <c r="X1068">
        <v>0</v>
      </c>
      <c r="Y1068">
        <v>0</v>
      </c>
      <c r="Z1068">
        <v>0</v>
      </c>
      <c r="AA1068">
        <v>0</v>
      </c>
      <c r="AB1068">
        <v>0</v>
      </c>
      <c r="AC1068">
        <v>0</v>
      </c>
      <c r="AD1068">
        <v>0</v>
      </c>
      <c r="AE1068">
        <v>0</v>
      </c>
      <c r="AF1068">
        <v>0</v>
      </c>
      <c r="AG1068">
        <v>0</v>
      </c>
      <c r="AH1068">
        <v>0</v>
      </c>
      <c r="AI1068">
        <v>0</v>
      </c>
      <c r="AJ1068">
        <v>0</v>
      </c>
      <c r="AK1068">
        <v>0</v>
      </c>
      <c r="AL1068">
        <v>0</v>
      </c>
      <c r="AM1068">
        <v>0</v>
      </c>
      <c r="AN1068">
        <v>0</v>
      </c>
      <c r="AO1068">
        <v>0</v>
      </c>
      <c r="AP1068">
        <v>0</v>
      </c>
      <c r="AQ1068">
        <v>25.52</v>
      </c>
      <c r="AR1068">
        <v>0</v>
      </c>
      <c r="AS1068">
        <v>0</v>
      </c>
      <c r="AT1068">
        <v>0</v>
      </c>
      <c r="AU1068">
        <v>0</v>
      </c>
      <c r="AV1068">
        <v>0</v>
      </c>
      <c r="AW1068">
        <v>0</v>
      </c>
      <c r="AX1068">
        <v>0</v>
      </c>
      <c r="AY1068">
        <v>0</v>
      </c>
      <c r="AZ1068">
        <v>0</v>
      </c>
      <c r="BA1068">
        <v>0</v>
      </c>
      <c r="BB1068">
        <v>0</v>
      </c>
      <c r="BC1068">
        <v>0</v>
      </c>
      <c r="BD1068">
        <v>0</v>
      </c>
      <c r="BE1068">
        <v>0</v>
      </c>
      <c r="BF1068">
        <v>0</v>
      </c>
      <c r="BG1068">
        <v>0</v>
      </c>
      <c r="BH1068">
        <v>1</v>
      </c>
      <c r="BI1068">
        <v>2</v>
      </c>
      <c r="BJ1068">
        <v>1.8</v>
      </c>
      <c r="BK1068">
        <v>2</v>
      </c>
      <c r="BL1068">
        <v>76.06</v>
      </c>
      <c r="BM1068">
        <v>11.41</v>
      </c>
      <c r="BN1068">
        <v>87.47</v>
      </c>
      <c r="BO1068">
        <v>87.47</v>
      </c>
      <c r="BQ1068" t="s">
        <v>103</v>
      </c>
      <c r="BR1068" t="s">
        <v>82</v>
      </c>
      <c r="BS1068" s="3">
        <v>46000</v>
      </c>
      <c r="BT1068" s="4">
        <v>0.35833333333333334</v>
      </c>
      <c r="BU1068" t="s">
        <v>104</v>
      </c>
      <c r="BV1068" t="s">
        <v>84</v>
      </c>
      <c r="BY1068">
        <v>8976</v>
      </c>
      <c r="CA1068" t="s">
        <v>107</v>
      </c>
      <c r="CC1068" t="s">
        <v>101</v>
      </c>
      <c r="CD1068">
        <v>4000</v>
      </c>
      <c r="CE1068" t="s">
        <v>93</v>
      </c>
      <c r="CF1068" s="3">
        <v>46001</v>
      </c>
      <c r="CI1068">
        <v>1</v>
      </c>
      <c r="CJ1068">
        <v>1</v>
      </c>
      <c r="CK1068">
        <v>21</v>
      </c>
      <c r="CL1068" t="s">
        <v>87</v>
      </c>
    </row>
    <row r="1069" spans="1:90" x14ac:dyDescent="0.3">
      <c r="A1069" t="s">
        <v>72</v>
      </c>
      <c r="B1069" t="s">
        <v>73</v>
      </c>
      <c r="C1069" t="s">
        <v>74</v>
      </c>
      <c r="E1069" t="str">
        <f>"080069757981"</f>
        <v>080069757981</v>
      </c>
      <c r="F1069" s="3">
        <v>45999</v>
      </c>
      <c r="G1069">
        <v>202609</v>
      </c>
      <c r="H1069" t="s">
        <v>75</v>
      </c>
      <c r="I1069" t="s">
        <v>76</v>
      </c>
      <c r="J1069" t="s">
        <v>77</v>
      </c>
      <c r="K1069" t="s">
        <v>78</v>
      </c>
      <c r="L1069" t="s">
        <v>156</v>
      </c>
      <c r="M1069" t="s">
        <v>157</v>
      </c>
      <c r="N1069" t="s">
        <v>261</v>
      </c>
      <c r="O1069" t="s">
        <v>89</v>
      </c>
      <c r="P1069" t="str">
        <f>"4170072580                    "</f>
        <v xml:space="preserve">4170072580                    </v>
      </c>
      <c r="Q1069">
        <v>0</v>
      </c>
      <c r="R1069">
        <v>0</v>
      </c>
      <c r="S1069">
        <v>0</v>
      </c>
      <c r="T1069">
        <v>0</v>
      </c>
      <c r="U1069">
        <v>0</v>
      </c>
      <c r="V1069">
        <v>0</v>
      </c>
      <c r="W1069">
        <v>0</v>
      </c>
      <c r="X1069">
        <v>0</v>
      </c>
      <c r="Y1069">
        <v>0</v>
      </c>
      <c r="Z1069">
        <v>0</v>
      </c>
      <c r="AA1069">
        <v>0</v>
      </c>
      <c r="AB1069">
        <v>0</v>
      </c>
      <c r="AC1069">
        <v>0</v>
      </c>
      <c r="AD1069">
        <v>0</v>
      </c>
      <c r="AE1069">
        <v>0</v>
      </c>
      <c r="AF1069">
        <v>0</v>
      </c>
      <c r="AG1069">
        <v>0</v>
      </c>
      <c r="AH1069">
        <v>0</v>
      </c>
      <c r="AI1069">
        <v>0</v>
      </c>
      <c r="AJ1069">
        <v>0</v>
      </c>
      <c r="AK1069">
        <v>0</v>
      </c>
      <c r="AL1069">
        <v>0</v>
      </c>
      <c r="AM1069">
        <v>0</v>
      </c>
      <c r="AN1069">
        <v>0</v>
      </c>
      <c r="AO1069">
        <v>0</v>
      </c>
      <c r="AP1069">
        <v>0</v>
      </c>
      <c r="AQ1069">
        <v>25.52</v>
      </c>
      <c r="AR1069">
        <v>0</v>
      </c>
      <c r="AS1069">
        <v>0</v>
      </c>
      <c r="AT1069">
        <v>0</v>
      </c>
      <c r="AU1069">
        <v>0</v>
      </c>
      <c r="AV1069">
        <v>0</v>
      </c>
      <c r="AW1069">
        <v>0</v>
      </c>
      <c r="AX1069">
        <v>0</v>
      </c>
      <c r="AY1069">
        <v>0</v>
      </c>
      <c r="AZ1069">
        <v>0</v>
      </c>
      <c r="BA1069">
        <v>0</v>
      </c>
      <c r="BB1069">
        <v>0</v>
      </c>
      <c r="BC1069">
        <v>0</v>
      </c>
      <c r="BD1069">
        <v>0</v>
      </c>
      <c r="BE1069">
        <v>0</v>
      </c>
      <c r="BF1069">
        <v>0</v>
      </c>
      <c r="BG1069">
        <v>0</v>
      </c>
      <c r="BH1069">
        <v>1</v>
      </c>
      <c r="BI1069">
        <v>1</v>
      </c>
      <c r="BJ1069">
        <v>0.2</v>
      </c>
      <c r="BK1069">
        <v>1</v>
      </c>
      <c r="BL1069">
        <v>76.06</v>
      </c>
      <c r="BM1069">
        <v>11.41</v>
      </c>
      <c r="BN1069">
        <v>87.47</v>
      </c>
      <c r="BO1069">
        <v>87.47</v>
      </c>
      <c r="BQ1069" t="s">
        <v>262</v>
      </c>
      <c r="BR1069" t="s">
        <v>82</v>
      </c>
      <c r="BS1069" s="3">
        <v>46000</v>
      </c>
      <c r="BT1069" s="4">
        <v>0.40069444444444446</v>
      </c>
      <c r="BU1069" t="s">
        <v>1130</v>
      </c>
      <c r="BV1069" t="s">
        <v>84</v>
      </c>
      <c r="BY1069">
        <v>1200</v>
      </c>
      <c r="CA1069" t="s">
        <v>264</v>
      </c>
      <c r="CC1069" t="s">
        <v>157</v>
      </c>
      <c r="CD1069">
        <v>7441</v>
      </c>
      <c r="CE1069" t="s">
        <v>134</v>
      </c>
      <c r="CF1069" s="3">
        <v>46001</v>
      </c>
      <c r="CI1069">
        <v>1</v>
      </c>
      <c r="CJ1069">
        <v>1</v>
      </c>
      <c r="CK1069">
        <v>21</v>
      </c>
      <c r="CL1069" t="s">
        <v>87</v>
      </c>
    </row>
    <row r="1070" spans="1:90" x14ac:dyDescent="0.3">
      <c r="A1070" t="s">
        <v>72</v>
      </c>
      <c r="B1070" t="s">
        <v>73</v>
      </c>
      <c r="C1070" t="s">
        <v>74</v>
      </c>
      <c r="E1070" t="str">
        <f>"080069758297"</f>
        <v>080069758297</v>
      </c>
      <c r="F1070" s="3">
        <v>45999</v>
      </c>
      <c r="G1070">
        <v>202609</v>
      </c>
      <c r="H1070" t="s">
        <v>75</v>
      </c>
      <c r="I1070" t="s">
        <v>76</v>
      </c>
      <c r="J1070" t="s">
        <v>77</v>
      </c>
      <c r="K1070" t="s">
        <v>78</v>
      </c>
      <c r="L1070" t="s">
        <v>156</v>
      </c>
      <c r="M1070" t="s">
        <v>157</v>
      </c>
      <c r="N1070" t="s">
        <v>434</v>
      </c>
      <c r="O1070" t="s">
        <v>80</v>
      </c>
      <c r="P1070" t="str">
        <f>"4170072442                    "</f>
        <v xml:space="preserve">4170072442                    </v>
      </c>
      <c r="Q1070">
        <v>0</v>
      </c>
      <c r="R1070">
        <v>0</v>
      </c>
      <c r="S1070">
        <v>0</v>
      </c>
      <c r="T1070">
        <v>0</v>
      </c>
      <c r="U1070">
        <v>0</v>
      </c>
      <c r="V1070">
        <v>0</v>
      </c>
      <c r="W1070">
        <v>0</v>
      </c>
      <c r="X1070">
        <v>0</v>
      </c>
      <c r="Y1070">
        <v>0</v>
      </c>
      <c r="Z1070">
        <v>0</v>
      </c>
      <c r="AA1070">
        <v>0</v>
      </c>
      <c r="AB1070">
        <v>0</v>
      </c>
      <c r="AC1070">
        <v>0</v>
      </c>
      <c r="AD1070">
        <v>0</v>
      </c>
      <c r="AE1070">
        <v>0</v>
      </c>
      <c r="AF1070">
        <v>0</v>
      </c>
      <c r="AG1070">
        <v>0</v>
      </c>
      <c r="AH1070">
        <v>0</v>
      </c>
      <c r="AI1070">
        <v>0</v>
      </c>
      <c r="AJ1070">
        <v>0</v>
      </c>
      <c r="AK1070">
        <v>0</v>
      </c>
      <c r="AL1070">
        <v>0</v>
      </c>
      <c r="AM1070">
        <v>0</v>
      </c>
      <c r="AN1070">
        <v>0</v>
      </c>
      <c r="AO1070">
        <v>0</v>
      </c>
      <c r="AP1070">
        <v>0</v>
      </c>
      <c r="AQ1070">
        <v>100.36</v>
      </c>
      <c r="AR1070">
        <v>0</v>
      </c>
      <c r="AS1070">
        <v>0</v>
      </c>
      <c r="AT1070">
        <v>0</v>
      </c>
      <c r="AU1070">
        <v>0</v>
      </c>
      <c r="AV1070">
        <v>0</v>
      </c>
      <c r="AW1070">
        <v>0</v>
      </c>
      <c r="AX1070">
        <v>0</v>
      </c>
      <c r="AY1070">
        <v>0</v>
      </c>
      <c r="AZ1070">
        <v>0</v>
      </c>
      <c r="BA1070">
        <v>0</v>
      </c>
      <c r="BB1070">
        <v>0</v>
      </c>
      <c r="BC1070">
        <v>0</v>
      </c>
      <c r="BD1070">
        <v>0</v>
      </c>
      <c r="BE1070">
        <v>0</v>
      </c>
      <c r="BF1070">
        <v>0</v>
      </c>
      <c r="BG1070">
        <v>0</v>
      </c>
      <c r="BH1070">
        <v>1</v>
      </c>
      <c r="BI1070">
        <v>20</v>
      </c>
      <c r="BJ1070">
        <v>39.200000000000003</v>
      </c>
      <c r="BK1070">
        <v>40</v>
      </c>
      <c r="BL1070">
        <v>305.2</v>
      </c>
      <c r="BM1070">
        <v>45.78</v>
      </c>
      <c r="BN1070">
        <v>350.98</v>
      </c>
      <c r="BO1070">
        <v>350.98</v>
      </c>
      <c r="BQ1070" t="s">
        <v>435</v>
      </c>
      <c r="BR1070" t="s">
        <v>82</v>
      </c>
      <c r="BS1070" s="3">
        <v>46001</v>
      </c>
      <c r="BT1070" s="4">
        <v>0.41666666666666669</v>
      </c>
      <c r="BU1070" t="s">
        <v>1831</v>
      </c>
      <c r="BV1070" t="s">
        <v>84</v>
      </c>
      <c r="BY1070">
        <v>195960</v>
      </c>
      <c r="CC1070" t="s">
        <v>157</v>
      </c>
      <c r="CD1070">
        <v>7441</v>
      </c>
      <c r="CE1070" t="s">
        <v>86</v>
      </c>
      <c r="CF1070" s="3">
        <v>46002</v>
      </c>
      <c r="CI1070">
        <v>3</v>
      </c>
      <c r="CJ1070">
        <v>2</v>
      </c>
      <c r="CK1070">
        <v>41</v>
      </c>
      <c r="CL1070" t="s">
        <v>87</v>
      </c>
    </row>
    <row r="1071" spans="1:90" x14ac:dyDescent="0.3">
      <c r="A1071" t="s">
        <v>72</v>
      </c>
      <c r="B1071" t="s">
        <v>73</v>
      </c>
      <c r="C1071" t="s">
        <v>74</v>
      </c>
      <c r="E1071" t="str">
        <f>"080069758361"</f>
        <v>080069758361</v>
      </c>
      <c r="F1071" s="3">
        <v>45999</v>
      </c>
      <c r="G1071">
        <v>202609</v>
      </c>
      <c r="H1071" t="s">
        <v>75</v>
      </c>
      <c r="I1071" t="s">
        <v>76</v>
      </c>
      <c r="J1071" t="s">
        <v>77</v>
      </c>
      <c r="K1071" t="s">
        <v>78</v>
      </c>
      <c r="L1071" t="s">
        <v>94</v>
      </c>
      <c r="M1071" t="s">
        <v>95</v>
      </c>
      <c r="N1071" t="s">
        <v>230</v>
      </c>
      <c r="O1071" t="s">
        <v>89</v>
      </c>
      <c r="P1071" t="str">
        <f>"4170072464                    "</f>
        <v xml:space="preserve">4170072464                    </v>
      </c>
      <c r="Q1071">
        <v>0</v>
      </c>
      <c r="R1071">
        <v>0</v>
      </c>
      <c r="S1071">
        <v>0</v>
      </c>
      <c r="T1071">
        <v>0</v>
      </c>
      <c r="U1071">
        <v>0</v>
      </c>
      <c r="V1071">
        <v>0</v>
      </c>
      <c r="W1071">
        <v>0</v>
      </c>
      <c r="X1071">
        <v>0</v>
      </c>
      <c r="Y1071">
        <v>0</v>
      </c>
      <c r="Z1071">
        <v>0</v>
      </c>
      <c r="AA1071">
        <v>0</v>
      </c>
      <c r="AB1071">
        <v>0</v>
      </c>
      <c r="AC1071">
        <v>0</v>
      </c>
      <c r="AD1071">
        <v>0</v>
      </c>
      <c r="AE1071">
        <v>0</v>
      </c>
      <c r="AF1071">
        <v>0</v>
      </c>
      <c r="AG1071">
        <v>0</v>
      </c>
      <c r="AH1071">
        <v>0</v>
      </c>
      <c r="AI1071">
        <v>0</v>
      </c>
      <c r="AJ1071">
        <v>0</v>
      </c>
      <c r="AK1071">
        <v>0</v>
      </c>
      <c r="AL1071">
        <v>0</v>
      </c>
      <c r="AM1071">
        <v>0</v>
      </c>
      <c r="AN1071">
        <v>0</v>
      </c>
      <c r="AO1071">
        <v>0</v>
      </c>
      <c r="AP1071">
        <v>0</v>
      </c>
      <c r="AQ1071">
        <v>44.66</v>
      </c>
      <c r="AR1071">
        <v>0</v>
      </c>
      <c r="AS1071">
        <v>0</v>
      </c>
      <c r="AT1071">
        <v>0</v>
      </c>
      <c r="AU1071">
        <v>0</v>
      </c>
      <c r="AV1071">
        <v>0</v>
      </c>
      <c r="AW1071">
        <v>0</v>
      </c>
      <c r="AX1071">
        <v>0</v>
      </c>
      <c r="AY1071">
        <v>0</v>
      </c>
      <c r="AZ1071">
        <v>0</v>
      </c>
      <c r="BA1071">
        <v>0</v>
      </c>
      <c r="BB1071">
        <v>0</v>
      </c>
      <c r="BC1071">
        <v>0</v>
      </c>
      <c r="BD1071">
        <v>0</v>
      </c>
      <c r="BE1071">
        <v>0</v>
      </c>
      <c r="BF1071">
        <v>0</v>
      </c>
      <c r="BG1071">
        <v>0</v>
      </c>
      <c r="BH1071">
        <v>1</v>
      </c>
      <c r="BI1071">
        <v>3</v>
      </c>
      <c r="BJ1071">
        <v>3.4</v>
      </c>
      <c r="BK1071">
        <v>3.5</v>
      </c>
      <c r="BL1071">
        <v>133.09</v>
      </c>
      <c r="BM1071">
        <v>19.96</v>
      </c>
      <c r="BN1071">
        <v>153.05000000000001</v>
      </c>
      <c r="BO1071">
        <v>153.05000000000001</v>
      </c>
      <c r="BQ1071" t="s">
        <v>231</v>
      </c>
      <c r="BR1071" t="s">
        <v>82</v>
      </c>
      <c r="BS1071" s="3">
        <v>46000</v>
      </c>
      <c r="BT1071" s="4">
        <v>0.3972222222222222</v>
      </c>
      <c r="BU1071" t="s">
        <v>1818</v>
      </c>
      <c r="BV1071" t="s">
        <v>84</v>
      </c>
      <c r="BY1071">
        <v>16965</v>
      </c>
      <c r="CA1071" t="s">
        <v>99</v>
      </c>
      <c r="CC1071" t="s">
        <v>95</v>
      </c>
      <c r="CD1071">
        <v>3608</v>
      </c>
      <c r="CE1071" t="s">
        <v>86</v>
      </c>
      <c r="CF1071" s="3">
        <v>46001</v>
      </c>
      <c r="CI1071">
        <v>1</v>
      </c>
      <c r="CJ1071">
        <v>1</v>
      </c>
      <c r="CK1071">
        <v>21</v>
      </c>
      <c r="CL1071" t="s">
        <v>87</v>
      </c>
    </row>
    <row r="1072" spans="1:90" x14ac:dyDescent="0.3">
      <c r="A1072" t="s">
        <v>72</v>
      </c>
      <c r="B1072" t="s">
        <v>73</v>
      </c>
      <c r="C1072" t="s">
        <v>74</v>
      </c>
      <c r="E1072" t="str">
        <f>"080069758417"</f>
        <v>080069758417</v>
      </c>
      <c r="F1072" s="3">
        <v>45999</v>
      </c>
      <c r="G1072">
        <v>202609</v>
      </c>
      <c r="H1072" t="s">
        <v>75</v>
      </c>
      <c r="I1072" t="s">
        <v>76</v>
      </c>
      <c r="J1072" t="s">
        <v>77</v>
      </c>
      <c r="K1072" t="s">
        <v>78</v>
      </c>
      <c r="L1072" t="s">
        <v>156</v>
      </c>
      <c r="M1072" t="s">
        <v>157</v>
      </c>
      <c r="N1072" t="s">
        <v>261</v>
      </c>
      <c r="O1072" t="s">
        <v>89</v>
      </c>
      <c r="P1072" t="str">
        <f>"4170072455                    "</f>
        <v xml:space="preserve">4170072455                    </v>
      </c>
      <c r="Q1072">
        <v>0</v>
      </c>
      <c r="R1072">
        <v>0</v>
      </c>
      <c r="S1072">
        <v>0</v>
      </c>
      <c r="T1072">
        <v>0</v>
      </c>
      <c r="U1072">
        <v>0</v>
      </c>
      <c r="V1072">
        <v>0</v>
      </c>
      <c r="W1072">
        <v>0</v>
      </c>
      <c r="X1072">
        <v>0</v>
      </c>
      <c r="Y1072">
        <v>0</v>
      </c>
      <c r="Z1072">
        <v>0</v>
      </c>
      <c r="AA1072">
        <v>0</v>
      </c>
      <c r="AB1072">
        <v>0</v>
      </c>
      <c r="AC1072">
        <v>0</v>
      </c>
      <c r="AD1072">
        <v>0</v>
      </c>
      <c r="AE1072">
        <v>0</v>
      </c>
      <c r="AF1072">
        <v>0</v>
      </c>
      <c r="AG1072">
        <v>0</v>
      </c>
      <c r="AH1072">
        <v>0</v>
      </c>
      <c r="AI1072">
        <v>0</v>
      </c>
      <c r="AJ1072">
        <v>0</v>
      </c>
      <c r="AK1072">
        <v>0</v>
      </c>
      <c r="AL1072">
        <v>0</v>
      </c>
      <c r="AM1072">
        <v>0</v>
      </c>
      <c r="AN1072">
        <v>0</v>
      </c>
      <c r="AO1072">
        <v>0</v>
      </c>
      <c r="AP1072">
        <v>0</v>
      </c>
      <c r="AQ1072">
        <v>25.52</v>
      </c>
      <c r="AR1072">
        <v>0</v>
      </c>
      <c r="AS1072">
        <v>0</v>
      </c>
      <c r="AT1072">
        <v>0</v>
      </c>
      <c r="AU1072">
        <v>0</v>
      </c>
      <c r="AV1072">
        <v>0</v>
      </c>
      <c r="AW1072">
        <v>0</v>
      </c>
      <c r="AX1072">
        <v>0</v>
      </c>
      <c r="AY1072">
        <v>0</v>
      </c>
      <c r="AZ1072">
        <v>0</v>
      </c>
      <c r="BA1072">
        <v>0</v>
      </c>
      <c r="BB1072">
        <v>0</v>
      </c>
      <c r="BC1072">
        <v>0</v>
      </c>
      <c r="BD1072">
        <v>0</v>
      </c>
      <c r="BE1072">
        <v>0</v>
      </c>
      <c r="BF1072">
        <v>0</v>
      </c>
      <c r="BG1072">
        <v>0</v>
      </c>
      <c r="BH1072">
        <v>1</v>
      </c>
      <c r="BI1072">
        <v>1</v>
      </c>
      <c r="BJ1072">
        <v>0.2</v>
      </c>
      <c r="BK1072">
        <v>1</v>
      </c>
      <c r="BL1072">
        <v>76.06</v>
      </c>
      <c r="BM1072">
        <v>11.41</v>
      </c>
      <c r="BN1072">
        <v>87.47</v>
      </c>
      <c r="BO1072">
        <v>87.47</v>
      </c>
      <c r="BQ1072" t="s">
        <v>262</v>
      </c>
      <c r="BR1072" t="s">
        <v>82</v>
      </c>
      <c r="BS1072" s="3">
        <v>46000</v>
      </c>
      <c r="BT1072" s="4">
        <v>0.40069444444444446</v>
      </c>
      <c r="BU1072" t="s">
        <v>1130</v>
      </c>
      <c r="BV1072" t="s">
        <v>84</v>
      </c>
      <c r="BY1072">
        <v>1200</v>
      </c>
      <c r="CA1072" t="s">
        <v>264</v>
      </c>
      <c r="CC1072" t="s">
        <v>157</v>
      </c>
      <c r="CD1072">
        <v>7441</v>
      </c>
      <c r="CE1072" t="s">
        <v>134</v>
      </c>
      <c r="CF1072" s="3">
        <v>46001</v>
      </c>
      <c r="CI1072">
        <v>1</v>
      </c>
      <c r="CJ1072">
        <v>1</v>
      </c>
      <c r="CK1072">
        <v>21</v>
      </c>
      <c r="CL1072" t="s">
        <v>87</v>
      </c>
    </row>
    <row r="1073" spans="1:90" x14ac:dyDescent="0.3">
      <c r="A1073" t="s">
        <v>72</v>
      </c>
      <c r="B1073" t="s">
        <v>73</v>
      </c>
      <c r="C1073" t="s">
        <v>74</v>
      </c>
      <c r="E1073" t="str">
        <f>"080069758673"</f>
        <v>080069758673</v>
      </c>
      <c r="F1073" s="3">
        <v>45999</v>
      </c>
      <c r="G1073">
        <v>202609</v>
      </c>
      <c r="H1073" t="s">
        <v>75</v>
      </c>
      <c r="I1073" t="s">
        <v>76</v>
      </c>
      <c r="J1073" t="s">
        <v>77</v>
      </c>
      <c r="K1073" t="s">
        <v>78</v>
      </c>
      <c r="L1073" t="s">
        <v>75</v>
      </c>
      <c r="M1073" t="s">
        <v>76</v>
      </c>
      <c r="N1073" t="s">
        <v>494</v>
      </c>
      <c r="O1073" t="s">
        <v>340</v>
      </c>
      <c r="P1073" t="str">
        <f>"4170072491                    "</f>
        <v xml:space="preserve">4170072491                    </v>
      </c>
      <c r="Q1073">
        <v>0</v>
      </c>
      <c r="R1073">
        <v>0</v>
      </c>
      <c r="S1073">
        <v>0</v>
      </c>
      <c r="T1073">
        <v>0</v>
      </c>
      <c r="U1073">
        <v>0</v>
      </c>
      <c r="V1073">
        <v>0</v>
      </c>
      <c r="W1073">
        <v>0</v>
      </c>
      <c r="X1073">
        <v>0</v>
      </c>
      <c r="Y1073">
        <v>0</v>
      </c>
      <c r="Z1073">
        <v>0</v>
      </c>
      <c r="AA1073">
        <v>0</v>
      </c>
      <c r="AB1073">
        <v>0</v>
      </c>
      <c r="AC1073">
        <v>0</v>
      </c>
      <c r="AD1073">
        <v>0</v>
      </c>
      <c r="AE1073">
        <v>0</v>
      </c>
      <c r="AF1073">
        <v>0</v>
      </c>
      <c r="AG1073">
        <v>0</v>
      </c>
      <c r="AH1073">
        <v>0</v>
      </c>
      <c r="AI1073">
        <v>0</v>
      </c>
      <c r="AJ1073">
        <v>0</v>
      </c>
      <c r="AK1073">
        <v>0</v>
      </c>
      <c r="AL1073">
        <v>0</v>
      </c>
      <c r="AM1073">
        <v>0</v>
      </c>
      <c r="AN1073">
        <v>0</v>
      </c>
      <c r="AO1073">
        <v>0</v>
      </c>
      <c r="AP1073">
        <v>0</v>
      </c>
      <c r="AQ1073">
        <v>22.18</v>
      </c>
      <c r="AR1073">
        <v>0</v>
      </c>
      <c r="AS1073">
        <v>0</v>
      </c>
      <c r="AT1073">
        <v>0</v>
      </c>
      <c r="AU1073">
        <v>0</v>
      </c>
      <c r="AV1073">
        <v>0</v>
      </c>
      <c r="AW1073">
        <v>0</v>
      </c>
      <c r="AX1073">
        <v>0</v>
      </c>
      <c r="AY1073">
        <v>0</v>
      </c>
      <c r="AZ1073">
        <v>0</v>
      </c>
      <c r="BA1073">
        <v>0</v>
      </c>
      <c r="BB1073">
        <v>0</v>
      </c>
      <c r="BC1073">
        <v>0</v>
      </c>
      <c r="BD1073">
        <v>0</v>
      </c>
      <c r="BE1073">
        <v>0</v>
      </c>
      <c r="BF1073">
        <v>0</v>
      </c>
      <c r="BG1073">
        <v>0</v>
      </c>
      <c r="BH1073">
        <v>1</v>
      </c>
      <c r="BI1073">
        <v>9</v>
      </c>
      <c r="BJ1073">
        <v>6.5</v>
      </c>
      <c r="BK1073">
        <v>9</v>
      </c>
      <c r="BL1073">
        <v>66.099999999999994</v>
      </c>
      <c r="BM1073">
        <v>9.92</v>
      </c>
      <c r="BN1073">
        <v>76.02</v>
      </c>
      <c r="BO1073">
        <v>76.02</v>
      </c>
      <c r="BQ1073" t="s">
        <v>495</v>
      </c>
      <c r="BR1073" t="s">
        <v>82</v>
      </c>
      <c r="BS1073" s="3">
        <v>46000</v>
      </c>
      <c r="BT1073" s="4">
        <v>0.4375</v>
      </c>
      <c r="BU1073" t="s">
        <v>963</v>
      </c>
      <c r="BV1073" t="s">
        <v>84</v>
      </c>
      <c r="BY1073">
        <v>32400</v>
      </c>
      <c r="CC1073" t="s">
        <v>76</v>
      </c>
      <c r="CD1073">
        <v>1614</v>
      </c>
      <c r="CE1073" t="s">
        <v>93</v>
      </c>
      <c r="CF1073" s="3">
        <v>46001</v>
      </c>
      <c r="CI1073">
        <v>1</v>
      </c>
      <c r="CJ1073">
        <v>1</v>
      </c>
      <c r="CK1073">
        <v>32</v>
      </c>
      <c r="CL1073" t="s">
        <v>87</v>
      </c>
    </row>
    <row r="1074" spans="1:90" x14ac:dyDescent="0.3">
      <c r="A1074" t="s">
        <v>72</v>
      </c>
      <c r="B1074" t="s">
        <v>73</v>
      </c>
      <c r="C1074" t="s">
        <v>74</v>
      </c>
      <c r="E1074" t="str">
        <f>"080069758675"</f>
        <v>080069758675</v>
      </c>
      <c r="F1074" s="3">
        <v>45999</v>
      </c>
      <c r="G1074">
        <v>202609</v>
      </c>
      <c r="H1074" t="s">
        <v>75</v>
      </c>
      <c r="I1074" t="s">
        <v>76</v>
      </c>
      <c r="J1074" t="s">
        <v>77</v>
      </c>
      <c r="K1074" t="s">
        <v>78</v>
      </c>
      <c r="L1074" t="s">
        <v>535</v>
      </c>
      <c r="M1074" t="s">
        <v>535</v>
      </c>
      <c r="N1074" t="s">
        <v>1030</v>
      </c>
      <c r="O1074" t="s">
        <v>89</v>
      </c>
      <c r="P1074" t="str">
        <f>"4170072593                    "</f>
        <v xml:space="preserve">4170072593                    </v>
      </c>
      <c r="Q1074">
        <v>0</v>
      </c>
      <c r="R1074">
        <v>0</v>
      </c>
      <c r="S1074">
        <v>0</v>
      </c>
      <c r="T1074">
        <v>0</v>
      </c>
      <c r="U1074">
        <v>0</v>
      </c>
      <c r="V1074">
        <v>0</v>
      </c>
      <c r="W1074">
        <v>0</v>
      </c>
      <c r="X1074">
        <v>0</v>
      </c>
      <c r="Y1074">
        <v>0</v>
      </c>
      <c r="Z1074">
        <v>0</v>
      </c>
      <c r="AA1074">
        <v>0</v>
      </c>
      <c r="AB1074">
        <v>0</v>
      </c>
      <c r="AC1074">
        <v>0</v>
      </c>
      <c r="AD1074">
        <v>0</v>
      </c>
      <c r="AE1074">
        <v>0</v>
      </c>
      <c r="AF1074">
        <v>0</v>
      </c>
      <c r="AG1074">
        <v>0</v>
      </c>
      <c r="AH1074">
        <v>0</v>
      </c>
      <c r="AI1074">
        <v>0</v>
      </c>
      <c r="AJ1074">
        <v>0</v>
      </c>
      <c r="AK1074">
        <v>0</v>
      </c>
      <c r="AL1074">
        <v>0</v>
      </c>
      <c r="AM1074">
        <v>0</v>
      </c>
      <c r="AN1074">
        <v>0</v>
      </c>
      <c r="AO1074">
        <v>0</v>
      </c>
      <c r="AP1074">
        <v>0</v>
      </c>
      <c r="AQ1074">
        <v>49.45</v>
      </c>
      <c r="AR1074">
        <v>0</v>
      </c>
      <c r="AS1074">
        <v>0</v>
      </c>
      <c r="AT1074">
        <v>0</v>
      </c>
      <c r="AU1074">
        <v>0</v>
      </c>
      <c r="AV1074">
        <v>0</v>
      </c>
      <c r="AW1074">
        <v>0</v>
      </c>
      <c r="AX1074">
        <v>0</v>
      </c>
      <c r="AY1074">
        <v>0</v>
      </c>
      <c r="AZ1074">
        <v>0</v>
      </c>
      <c r="BA1074">
        <v>0</v>
      </c>
      <c r="BB1074">
        <v>0</v>
      </c>
      <c r="BC1074">
        <v>0</v>
      </c>
      <c r="BD1074">
        <v>0</v>
      </c>
      <c r="BE1074">
        <v>0</v>
      </c>
      <c r="BF1074">
        <v>0</v>
      </c>
      <c r="BG1074">
        <v>0</v>
      </c>
      <c r="BH1074">
        <v>1</v>
      </c>
      <c r="BI1074">
        <v>1</v>
      </c>
      <c r="BJ1074">
        <v>0.2</v>
      </c>
      <c r="BK1074">
        <v>1</v>
      </c>
      <c r="BL1074">
        <v>147.38</v>
      </c>
      <c r="BM1074">
        <v>22.11</v>
      </c>
      <c r="BN1074">
        <v>169.49</v>
      </c>
      <c r="BO1074">
        <v>169.49</v>
      </c>
      <c r="BQ1074" t="s">
        <v>1031</v>
      </c>
      <c r="BR1074" t="s">
        <v>82</v>
      </c>
      <c r="BS1074" s="3">
        <v>46000</v>
      </c>
      <c r="BT1074" s="4">
        <v>0.54027777777777775</v>
      </c>
      <c r="BU1074" t="s">
        <v>1530</v>
      </c>
      <c r="BV1074" t="s">
        <v>84</v>
      </c>
      <c r="BY1074">
        <v>1200</v>
      </c>
      <c r="CA1074" t="s">
        <v>539</v>
      </c>
      <c r="CC1074" t="s">
        <v>535</v>
      </c>
      <c r="CD1074">
        <v>7646</v>
      </c>
      <c r="CE1074" t="s">
        <v>134</v>
      </c>
      <c r="CF1074" s="3">
        <v>46001</v>
      </c>
      <c r="CI1074">
        <v>1</v>
      </c>
      <c r="CJ1074">
        <v>1</v>
      </c>
      <c r="CK1074">
        <v>23</v>
      </c>
      <c r="CL1074" t="s">
        <v>87</v>
      </c>
    </row>
    <row r="1075" spans="1:90" x14ac:dyDescent="0.3">
      <c r="A1075" t="s">
        <v>72</v>
      </c>
      <c r="B1075" t="s">
        <v>73</v>
      </c>
      <c r="C1075" t="s">
        <v>74</v>
      </c>
      <c r="E1075" t="str">
        <f>"080069758712"</f>
        <v>080069758712</v>
      </c>
      <c r="F1075" s="3">
        <v>45999</v>
      </c>
      <c r="G1075">
        <v>202609</v>
      </c>
      <c r="H1075" t="s">
        <v>75</v>
      </c>
      <c r="I1075" t="s">
        <v>76</v>
      </c>
      <c r="J1075" t="s">
        <v>77</v>
      </c>
      <c r="K1075" t="s">
        <v>78</v>
      </c>
      <c r="L1075" t="s">
        <v>148</v>
      </c>
      <c r="M1075" t="s">
        <v>149</v>
      </c>
      <c r="N1075" t="s">
        <v>150</v>
      </c>
      <c r="O1075" t="s">
        <v>89</v>
      </c>
      <c r="P1075" t="str">
        <f>"4170072561                    "</f>
        <v xml:space="preserve">4170072561                    </v>
      </c>
      <c r="Q1075">
        <v>0</v>
      </c>
      <c r="R1075">
        <v>0</v>
      </c>
      <c r="S1075">
        <v>0</v>
      </c>
      <c r="T1075">
        <v>0</v>
      </c>
      <c r="U1075">
        <v>0</v>
      </c>
      <c r="V1075">
        <v>0</v>
      </c>
      <c r="W1075">
        <v>0</v>
      </c>
      <c r="X1075">
        <v>0</v>
      </c>
      <c r="Y1075">
        <v>0</v>
      </c>
      <c r="Z1075">
        <v>0</v>
      </c>
      <c r="AA1075">
        <v>0</v>
      </c>
      <c r="AB1075">
        <v>0</v>
      </c>
      <c r="AC1075">
        <v>0</v>
      </c>
      <c r="AD1075">
        <v>0</v>
      </c>
      <c r="AE1075">
        <v>0</v>
      </c>
      <c r="AF1075">
        <v>0</v>
      </c>
      <c r="AG1075">
        <v>0</v>
      </c>
      <c r="AH1075">
        <v>0</v>
      </c>
      <c r="AI1075">
        <v>0</v>
      </c>
      <c r="AJ1075">
        <v>0</v>
      </c>
      <c r="AK1075">
        <v>0</v>
      </c>
      <c r="AL1075">
        <v>0</v>
      </c>
      <c r="AM1075">
        <v>0</v>
      </c>
      <c r="AN1075">
        <v>0</v>
      </c>
      <c r="AO1075">
        <v>0</v>
      </c>
      <c r="AP1075">
        <v>0</v>
      </c>
      <c r="AQ1075">
        <v>49.45</v>
      </c>
      <c r="AR1075">
        <v>0</v>
      </c>
      <c r="AS1075">
        <v>0</v>
      </c>
      <c r="AT1075">
        <v>0</v>
      </c>
      <c r="AU1075">
        <v>0</v>
      </c>
      <c r="AV1075">
        <v>0</v>
      </c>
      <c r="AW1075">
        <v>0</v>
      </c>
      <c r="AX1075">
        <v>0</v>
      </c>
      <c r="AY1075">
        <v>0</v>
      </c>
      <c r="AZ1075">
        <v>0</v>
      </c>
      <c r="BA1075">
        <v>0</v>
      </c>
      <c r="BB1075">
        <v>0</v>
      </c>
      <c r="BC1075">
        <v>0</v>
      </c>
      <c r="BD1075">
        <v>0</v>
      </c>
      <c r="BE1075">
        <v>0</v>
      </c>
      <c r="BF1075">
        <v>0</v>
      </c>
      <c r="BG1075">
        <v>0</v>
      </c>
      <c r="BH1075">
        <v>1</v>
      </c>
      <c r="BI1075">
        <v>1</v>
      </c>
      <c r="BJ1075">
        <v>0.2</v>
      </c>
      <c r="BK1075">
        <v>1</v>
      </c>
      <c r="BL1075">
        <v>147.38</v>
      </c>
      <c r="BM1075">
        <v>22.11</v>
      </c>
      <c r="BN1075">
        <v>169.49</v>
      </c>
      <c r="BO1075">
        <v>169.49</v>
      </c>
      <c r="BQ1075" t="s">
        <v>1550</v>
      </c>
      <c r="BR1075" t="s">
        <v>82</v>
      </c>
      <c r="BS1075" s="3">
        <v>46000</v>
      </c>
      <c r="BT1075" s="4">
        <v>0.56805555555555554</v>
      </c>
      <c r="BU1075" t="s">
        <v>1802</v>
      </c>
      <c r="BV1075" t="s">
        <v>84</v>
      </c>
      <c r="BY1075">
        <v>1200</v>
      </c>
      <c r="CA1075" t="s">
        <v>155</v>
      </c>
      <c r="CC1075" t="s">
        <v>149</v>
      </c>
      <c r="CD1075">
        <v>7299</v>
      </c>
      <c r="CE1075" t="s">
        <v>134</v>
      </c>
      <c r="CF1075" s="3">
        <v>46001</v>
      </c>
      <c r="CI1075">
        <v>1</v>
      </c>
      <c r="CJ1075">
        <v>1</v>
      </c>
      <c r="CK1075">
        <v>23</v>
      </c>
      <c r="CL1075" t="s">
        <v>87</v>
      </c>
    </row>
    <row r="1076" spans="1:90" x14ac:dyDescent="0.3">
      <c r="A1076" t="s">
        <v>72</v>
      </c>
      <c r="B1076" t="s">
        <v>73</v>
      </c>
      <c r="C1076" t="s">
        <v>74</v>
      </c>
      <c r="E1076" t="str">
        <f>"080069758897"</f>
        <v>080069758897</v>
      </c>
      <c r="F1076" s="3">
        <v>45999</v>
      </c>
      <c r="G1076">
        <v>202609</v>
      </c>
      <c r="H1076" t="s">
        <v>75</v>
      </c>
      <c r="I1076" t="s">
        <v>76</v>
      </c>
      <c r="J1076" t="s">
        <v>77</v>
      </c>
      <c r="K1076" t="s">
        <v>78</v>
      </c>
      <c r="L1076" t="s">
        <v>302</v>
      </c>
      <c r="M1076" t="s">
        <v>303</v>
      </c>
      <c r="N1076" t="s">
        <v>304</v>
      </c>
      <c r="O1076" t="s">
        <v>80</v>
      </c>
      <c r="P1076" t="str">
        <f>"4170072480                    "</f>
        <v xml:space="preserve">4170072480                    </v>
      </c>
      <c r="Q1076">
        <v>0</v>
      </c>
      <c r="R1076">
        <v>0</v>
      </c>
      <c r="S1076">
        <v>0</v>
      </c>
      <c r="T1076">
        <v>0</v>
      </c>
      <c r="U1076">
        <v>0</v>
      </c>
      <c r="V1076">
        <v>0</v>
      </c>
      <c r="W1076">
        <v>0</v>
      </c>
      <c r="X1076">
        <v>0</v>
      </c>
      <c r="Y1076">
        <v>0</v>
      </c>
      <c r="Z1076">
        <v>0</v>
      </c>
      <c r="AA1076">
        <v>0</v>
      </c>
      <c r="AB1076">
        <v>0</v>
      </c>
      <c r="AC1076">
        <v>0</v>
      </c>
      <c r="AD1076">
        <v>0</v>
      </c>
      <c r="AE1076">
        <v>0</v>
      </c>
      <c r="AF1076">
        <v>0</v>
      </c>
      <c r="AG1076">
        <v>0</v>
      </c>
      <c r="AH1076">
        <v>0</v>
      </c>
      <c r="AI1076">
        <v>0</v>
      </c>
      <c r="AJ1076">
        <v>0</v>
      </c>
      <c r="AK1076">
        <v>0</v>
      </c>
      <c r="AL1076">
        <v>0</v>
      </c>
      <c r="AM1076">
        <v>0</v>
      </c>
      <c r="AN1076">
        <v>0</v>
      </c>
      <c r="AO1076">
        <v>0</v>
      </c>
      <c r="AP1076">
        <v>0</v>
      </c>
      <c r="AQ1076">
        <v>220.74</v>
      </c>
      <c r="AR1076">
        <v>0</v>
      </c>
      <c r="AS1076">
        <v>0</v>
      </c>
      <c r="AT1076">
        <v>0</v>
      </c>
      <c r="AU1076">
        <v>0</v>
      </c>
      <c r="AV1076">
        <v>0</v>
      </c>
      <c r="AW1076">
        <v>0</v>
      </c>
      <c r="AX1076">
        <v>0</v>
      </c>
      <c r="AY1076">
        <v>0</v>
      </c>
      <c r="AZ1076">
        <v>0</v>
      </c>
      <c r="BA1076">
        <v>0</v>
      </c>
      <c r="BB1076">
        <v>0</v>
      </c>
      <c r="BC1076">
        <v>0</v>
      </c>
      <c r="BD1076">
        <v>0</v>
      </c>
      <c r="BE1076">
        <v>0</v>
      </c>
      <c r="BF1076">
        <v>0</v>
      </c>
      <c r="BG1076">
        <v>0</v>
      </c>
      <c r="BH1076">
        <v>1</v>
      </c>
      <c r="BI1076">
        <v>56</v>
      </c>
      <c r="BJ1076">
        <v>98.4</v>
      </c>
      <c r="BK1076">
        <v>99</v>
      </c>
      <c r="BL1076">
        <v>663.94</v>
      </c>
      <c r="BM1076">
        <v>99.59</v>
      </c>
      <c r="BN1076">
        <v>763.53</v>
      </c>
      <c r="BO1076">
        <v>763.53</v>
      </c>
      <c r="BQ1076" t="s">
        <v>305</v>
      </c>
      <c r="BR1076" t="s">
        <v>82</v>
      </c>
      <c r="BS1076" t="s">
        <v>500</v>
      </c>
      <c r="BY1076">
        <v>492000</v>
      </c>
      <c r="CC1076" t="s">
        <v>303</v>
      </c>
      <c r="CD1076" s="5" t="s">
        <v>307</v>
      </c>
      <c r="CE1076" t="s">
        <v>567</v>
      </c>
      <c r="CF1076" s="3">
        <v>46000</v>
      </c>
      <c r="CI1076">
        <v>1</v>
      </c>
      <c r="CJ1076" t="s">
        <v>500</v>
      </c>
      <c r="CK1076">
        <v>41</v>
      </c>
      <c r="CL1076" t="s">
        <v>87</v>
      </c>
    </row>
    <row r="1077" spans="1:90" x14ac:dyDescent="0.3">
      <c r="A1077" t="s">
        <v>72</v>
      </c>
      <c r="B1077" t="s">
        <v>73</v>
      </c>
      <c r="C1077" t="s">
        <v>74</v>
      </c>
      <c r="E1077" t="str">
        <f>"080069758954"</f>
        <v>080069758954</v>
      </c>
      <c r="F1077" s="3">
        <v>45999</v>
      </c>
      <c r="G1077">
        <v>202609</v>
      </c>
      <c r="H1077" t="s">
        <v>75</v>
      </c>
      <c r="I1077" t="s">
        <v>76</v>
      </c>
      <c r="J1077" t="s">
        <v>77</v>
      </c>
      <c r="K1077" t="s">
        <v>78</v>
      </c>
      <c r="L1077" t="s">
        <v>94</v>
      </c>
      <c r="M1077" t="s">
        <v>95</v>
      </c>
      <c r="N1077" t="s">
        <v>540</v>
      </c>
      <c r="O1077" t="s">
        <v>89</v>
      </c>
      <c r="P1077" t="str">
        <f>"4170072374                    "</f>
        <v xml:space="preserve">4170072374                    </v>
      </c>
      <c r="Q1077">
        <v>0</v>
      </c>
      <c r="R1077">
        <v>0</v>
      </c>
      <c r="S1077">
        <v>0</v>
      </c>
      <c r="T1077">
        <v>0</v>
      </c>
      <c r="U1077">
        <v>0</v>
      </c>
      <c r="V1077">
        <v>0</v>
      </c>
      <c r="W1077">
        <v>0</v>
      </c>
      <c r="X1077">
        <v>0</v>
      </c>
      <c r="Y1077">
        <v>0</v>
      </c>
      <c r="Z1077">
        <v>0</v>
      </c>
      <c r="AA1077">
        <v>0</v>
      </c>
      <c r="AB1077">
        <v>0</v>
      </c>
      <c r="AC1077">
        <v>0</v>
      </c>
      <c r="AD1077">
        <v>0</v>
      </c>
      <c r="AE1077">
        <v>0</v>
      </c>
      <c r="AF1077">
        <v>0</v>
      </c>
      <c r="AG1077">
        <v>0</v>
      </c>
      <c r="AH1077">
        <v>0</v>
      </c>
      <c r="AI1077">
        <v>0</v>
      </c>
      <c r="AJ1077">
        <v>0</v>
      </c>
      <c r="AK1077">
        <v>0</v>
      </c>
      <c r="AL1077">
        <v>0</v>
      </c>
      <c r="AM1077">
        <v>0</v>
      </c>
      <c r="AN1077">
        <v>0</v>
      </c>
      <c r="AO1077">
        <v>0</v>
      </c>
      <c r="AP1077">
        <v>0</v>
      </c>
      <c r="AQ1077">
        <v>25.52</v>
      </c>
      <c r="AR1077">
        <v>0</v>
      </c>
      <c r="AS1077">
        <v>0</v>
      </c>
      <c r="AT1077">
        <v>0</v>
      </c>
      <c r="AU1077">
        <v>0</v>
      </c>
      <c r="AV1077">
        <v>0</v>
      </c>
      <c r="AW1077">
        <v>0</v>
      </c>
      <c r="AX1077">
        <v>0</v>
      </c>
      <c r="AY1077">
        <v>0</v>
      </c>
      <c r="AZ1077">
        <v>0</v>
      </c>
      <c r="BA1077">
        <v>0</v>
      </c>
      <c r="BB1077">
        <v>0</v>
      </c>
      <c r="BC1077">
        <v>0</v>
      </c>
      <c r="BD1077">
        <v>0</v>
      </c>
      <c r="BE1077">
        <v>0</v>
      </c>
      <c r="BF1077">
        <v>0</v>
      </c>
      <c r="BG1077">
        <v>0</v>
      </c>
      <c r="BH1077">
        <v>1</v>
      </c>
      <c r="BI1077">
        <v>1</v>
      </c>
      <c r="BJ1077">
        <v>0.2</v>
      </c>
      <c r="BK1077">
        <v>1</v>
      </c>
      <c r="BL1077">
        <v>76.06</v>
      </c>
      <c r="BM1077">
        <v>11.41</v>
      </c>
      <c r="BN1077">
        <v>87.47</v>
      </c>
      <c r="BO1077">
        <v>87.47</v>
      </c>
      <c r="BQ1077" t="s">
        <v>541</v>
      </c>
      <c r="BR1077" t="s">
        <v>82</v>
      </c>
      <c r="BS1077" s="3">
        <v>46000</v>
      </c>
      <c r="BT1077" s="4">
        <v>0.42986111111111114</v>
      </c>
      <c r="BU1077" t="s">
        <v>542</v>
      </c>
      <c r="BV1077" t="s">
        <v>84</v>
      </c>
      <c r="BY1077">
        <v>1200</v>
      </c>
      <c r="CA1077" t="s">
        <v>99</v>
      </c>
      <c r="CC1077" t="s">
        <v>95</v>
      </c>
      <c r="CD1077">
        <v>3610</v>
      </c>
      <c r="CE1077" t="s">
        <v>134</v>
      </c>
      <c r="CF1077" s="3">
        <v>46001</v>
      </c>
      <c r="CI1077">
        <v>1</v>
      </c>
      <c r="CJ1077">
        <v>1</v>
      </c>
      <c r="CK1077">
        <v>21</v>
      </c>
      <c r="CL1077" t="s">
        <v>87</v>
      </c>
    </row>
    <row r="1078" spans="1:90" x14ac:dyDescent="0.3">
      <c r="A1078" t="s">
        <v>72</v>
      </c>
      <c r="B1078" t="s">
        <v>73</v>
      </c>
      <c r="C1078" t="s">
        <v>74</v>
      </c>
      <c r="E1078" t="str">
        <f>"080069759024"</f>
        <v>080069759024</v>
      </c>
      <c r="F1078" s="3">
        <v>45999</v>
      </c>
      <c r="G1078">
        <v>202609</v>
      </c>
      <c r="H1078" t="s">
        <v>75</v>
      </c>
      <c r="I1078" t="s">
        <v>76</v>
      </c>
      <c r="J1078" t="s">
        <v>77</v>
      </c>
      <c r="K1078" t="s">
        <v>78</v>
      </c>
      <c r="L1078" t="s">
        <v>169</v>
      </c>
      <c r="M1078" t="s">
        <v>170</v>
      </c>
      <c r="N1078" t="s">
        <v>171</v>
      </c>
      <c r="O1078" t="s">
        <v>80</v>
      </c>
      <c r="P1078" t="str">
        <f>"4170072401                    "</f>
        <v xml:space="preserve">4170072401                    </v>
      </c>
      <c r="Q1078">
        <v>0</v>
      </c>
      <c r="R1078">
        <v>0</v>
      </c>
      <c r="S1078">
        <v>0</v>
      </c>
      <c r="T1078">
        <v>0</v>
      </c>
      <c r="U1078">
        <v>0</v>
      </c>
      <c r="V1078">
        <v>0</v>
      </c>
      <c r="W1078">
        <v>0</v>
      </c>
      <c r="X1078">
        <v>0</v>
      </c>
      <c r="Y1078">
        <v>0</v>
      </c>
      <c r="Z1078">
        <v>0</v>
      </c>
      <c r="AA1078">
        <v>0</v>
      </c>
      <c r="AB1078">
        <v>0</v>
      </c>
      <c r="AC1078">
        <v>0</v>
      </c>
      <c r="AD1078">
        <v>0</v>
      </c>
      <c r="AE1078">
        <v>0</v>
      </c>
      <c r="AF1078">
        <v>0</v>
      </c>
      <c r="AG1078">
        <v>0</v>
      </c>
      <c r="AH1078">
        <v>0</v>
      </c>
      <c r="AI1078">
        <v>0</v>
      </c>
      <c r="AJ1078">
        <v>0</v>
      </c>
      <c r="AK1078">
        <v>0</v>
      </c>
      <c r="AL1078">
        <v>0</v>
      </c>
      <c r="AM1078">
        <v>0</v>
      </c>
      <c r="AN1078">
        <v>0</v>
      </c>
      <c r="AO1078">
        <v>0</v>
      </c>
      <c r="AP1078">
        <v>0</v>
      </c>
      <c r="AQ1078">
        <v>69.61</v>
      </c>
      <c r="AR1078">
        <v>0</v>
      </c>
      <c r="AS1078">
        <v>0</v>
      </c>
      <c r="AT1078">
        <v>0</v>
      </c>
      <c r="AU1078">
        <v>0</v>
      </c>
      <c r="AV1078">
        <v>0</v>
      </c>
      <c r="AW1078">
        <v>0</v>
      </c>
      <c r="AX1078">
        <v>0</v>
      </c>
      <c r="AY1078">
        <v>0</v>
      </c>
      <c r="AZ1078">
        <v>0</v>
      </c>
      <c r="BA1078">
        <v>0</v>
      </c>
      <c r="BB1078">
        <v>0</v>
      </c>
      <c r="BC1078">
        <v>0</v>
      </c>
      <c r="BD1078">
        <v>0</v>
      </c>
      <c r="BE1078">
        <v>0</v>
      </c>
      <c r="BF1078">
        <v>0</v>
      </c>
      <c r="BG1078">
        <v>0</v>
      </c>
      <c r="BH1078">
        <v>1</v>
      </c>
      <c r="BI1078">
        <v>1</v>
      </c>
      <c r="BJ1078">
        <v>2.1</v>
      </c>
      <c r="BK1078">
        <v>3</v>
      </c>
      <c r="BL1078">
        <v>213.56</v>
      </c>
      <c r="BM1078">
        <v>32.03</v>
      </c>
      <c r="BN1078">
        <v>245.59</v>
      </c>
      <c r="BO1078">
        <v>245.59</v>
      </c>
      <c r="BQ1078" t="s">
        <v>172</v>
      </c>
      <c r="BR1078" t="s">
        <v>82</v>
      </c>
      <c r="BS1078" s="3">
        <v>46000</v>
      </c>
      <c r="BT1078" s="4">
        <v>0.625</v>
      </c>
      <c r="BU1078" t="s">
        <v>1832</v>
      </c>
      <c r="BV1078" t="s">
        <v>84</v>
      </c>
      <c r="BY1078">
        <v>10469</v>
      </c>
      <c r="CA1078">
        <v>8410105735081</v>
      </c>
      <c r="CC1078" t="s">
        <v>170</v>
      </c>
      <c r="CD1078">
        <v>1028</v>
      </c>
      <c r="CE1078" t="s">
        <v>86</v>
      </c>
      <c r="CF1078" s="3">
        <v>46000</v>
      </c>
      <c r="CI1078">
        <v>1</v>
      </c>
      <c r="CJ1078">
        <v>1</v>
      </c>
      <c r="CK1078">
        <v>43</v>
      </c>
      <c r="CL1078" t="s">
        <v>87</v>
      </c>
    </row>
    <row r="1079" spans="1:90" x14ac:dyDescent="0.3">
      <c r="A1079" t="s">
        <v>72</v>
      </c>
      <c r="B1079" t="s">
        <v>73</v>
      </c>
      <c r="C1079" t="s">
        <v>74</v>
      </c>
      <c r="E1079" t="str">
        <f>"080069759040"</f>
        <v>080069759040</v>
      </c>
      <c r="F1079" s="3">
        <v>45999</v>
      </c>
      <c r="G1079">
        <v>202609</v>
      </c>
      <c r="H1079" t="s">
        <v>75</v>
      </c>
      <c r="I1079" t="s">
        <v>76</v>
      </c>
      <c r="J1079" t="s">
        <v>77</v>
      </c>
      <c r="K1079" t="s">
        <v>78</v>
      </c>
      <c r="L1079" t="s">
        <v>548</v>
      </c>
      <c r="M1079" t="s">
        <v>549</v>
      </c>
      <c r="N1079" t="s">
        <v>550</v>
      </c>
      <c r="O1079" t="s">
        <v>89</v>
      </c>
      <c r="P1079" t="str">
        <f>"4170072384                    "</f>
        <v xml:space="preserve">4170072384                    </v>
      </c>
      <c r="Q1079">
        <v>0</v>
      </c>
      <c r="R1079">
        <v>0</v>
      </c>
      <c r="S1079">
        <v>0</v>
      </c>
      <c r="T1079">
        <v>0</v>
      </c>
      <c r="U1079">
        <v>0</v>
      </c>
      <c r="V1079">
        <v>0</v>
      </c>
      <c r="W1079">
        <v>0</v>
      </c>
      <c r="X1079">
        <v>0</v>
      </c>
      <c r="Y1079">
        <v>0</v>
      </c>
      <c r="Z1079">
        <v>0</v>
      </c>
      <c r="AA1079">
        <v>0</v>
      </c>
      <c r="AB1079">
        <v>0</v>
      </c>
      <c r="AC1079">
        <v>0</v>
      </c>
      <c r="AD1079">
        <v>0</v>
      </c>
      <c r="AE1079">
        <v>0</v>
      </c>
      <c r="AF1079">
        <v>0</v>
      </c>
      <c r="AG1079">
        <v>0</v>
      </c>
      <c r="AH1079">
        <v>0</v>
      </c>
      <c r="AI1079">
        <v>0</v>
      </c>
      <c r="AJ1079">
        <v>0</v>
      </c>
      <c r="AK1079">
        <v>0</v>
      </c>
      <c r="AL1079">
        <v>0</v>
      </c>
      <c r="AM1079">
        <v>0</v>
      </c>
      <c r="AN1079">
        <v>0</v>
      </c>
      <c r="AO1079">
        <v>0</v>
      </c>
      <c r="AP1079">
        <v>0</v>
      </c>
      <c r="AQ1079">
        <v>49.45</v>
      </c>
      <c r="AR1079">
        <v>0</v>
      </c>
      <c r="AS1079">
        <v>0</v>
      </c>
      <c r="AT1079">
        <v>0</v>
      </c>
      <c r="AU1079">
        <v>0</v>
      </c>
      <c r="AV1079">
        <v>0</v>
      </c>
      <c r="AW1079">
        <v>0</v>
      </c>
      <c r="AX1079">
        <v>0</v>
      </c>
      <c r="AY1079">
        <v>0</v>
      </c>
      <c r="AZ1079">
        <v>0</v>
      </c>
      <c r="BA1079">
        <v>0</v>
      </c>
      <c r="BB1079">
        <v>0</v>
      </c>
      <c r="BC1079">
        <v>0</v>
      </c>
      <c r="BD1079">
        <v>0</v>
      </c>
      <c r="BE1079">
        <v>0</v>
      </c>
      <c r="BF1079">
        <v>0</v>
      </c>
      <c r="BG1079">
        <v>0</v>
      </c>
      <c r="BH1079">
        <v>1</v>
      </c>
      <c r="BI1079">
        <v>1</v>
      </c>
      <c r="BJ1079">
        <v>0.2</v>
      </c>
      <c r="BK1079">
        <v>1</v>
      </c>
      <c r="BL1079">
        <v>147.38</v>
      </c>
      <c r="BM1079">
        <v>22.11</v>
      </c>
      <c r="BN1079">
        <v>169.49</v>
      </c>
      <c r="BO1079">
        <v>169.49</v>
      </c>
      <c r="BQ1079" t="s">
        <v>551</v>
      </c>
      <c r="BR1079" t="s">
        <v>82</v>
      </c>
      <c r="BS1079" s="3">
        <v>46000</v>
      </c>
      <c r="BT1079" s="4">
        <v>0.43680555555555556</v>
      </c>
      <c r="BU1079" t="s">
        <v>1833</v>
      </c>
      <c r="BV1079" t="s">
        <v>84</v>
      </c>
      <c r="BY1079">
        <v>1200</v>
      </c>
      <c r="CA1079" s="5" t="s">
        <v>1309</v>
      </c>
      <c r="CC1079" t="s">
        <v>549</v>
      </c>
      <c r="CD1079">
        <v>2302</v>
      </c>
      <c r="CE1079" t="s">
        <v>134</v>
      </c>
      <c r="CF1079" s="3">
        <v>46001</v>
      </c>
      <c r="CI1079">
        <v>1</v>
      </c>
      <c r="CJ1079">
        <v>1</v>
      </c>
      <c r="CK1079">
        <v>23</v>
      </c>
      <c r="CL1079" t="s">
        <v>87</v>
      </c>
    </row>
    <row r="1080" spans="1:90" x14ac:dyDescent="0.3">
      <c r="A1080" t="s">
        <v>72</v>
      </c>
      <c r="B1080" t="s">
        <v>73</v>
      </c>
      <c r="C1080" t="s">
        <v>74</v>
      </c>
      <c r="E1080" t="str">
        <f>"080069759069"</f>
        <v>080069759069</v>
      </c>
      <c r="F1080" s="3">
        <v>45999</v>
      </c>
      <c r="G1080">
        <v>202609</v>
      </c>
      <c r="H1080" t="s">
        <v>75</v>
      </c>
      <c r="I1080" t="s">
        <v>76</v>
      </c>
      <c r="J1080" t="s">
        <v>77</v>
      </c>
      <c r="K1080" t="s">
        <v>78</v>
      </c>
      <c r="L1080" t="s">
        <v>176</v>
      </c>
      <c r="M1080" t="s">
        <v>177</v>
      </c>
      <c r="N1080" t="s">
        <v>670</v>
      </c>
      <c r="O1080" t="s">
        <v>340</v>
      </c>
      <c r="P1080" t="str">
        <f>"4170072333                    "</f>
        <v xml:space="preserve">4170072333                    </v>
      </c>
      <c r="Q1080">
        <v>0</v>
      </c>
      <c r="R1080">
        <v>0</v>
      </c>
      <c r="S1080">
        <v>0</v>
      </c>
      <c r="T1080">
        <v>0</v>
      </c>
      <c r="U1080">
        <v>0</v>
      </c>
      <c r="V1080">
        <v>0</v>
      </c>
      <c r="W1080">
        <v>0</v>
      </c>
      <c r="X1080">
        <v>0</v>
      </c>
      <c r="Y1080">
        <v>0</v>
      </c>
      <c r="Z1080">
        <v>0</v>
      </c>
      <c r="AA1080">
        <v>0</v>
      </c>
      <c r="AB1080">
        <v>0</v>
      </c>
      <c r="AC1080">
        <v>0</v>
      </c>
      <c r="AD1080">
        <v>0</v>
      </c>
      <c r="AE1080">
        <v>0</v>
      </c>
      <c r="AF1080">
        <v>0</v>
      </c>
      <c r="AG1080">
        <v>0</v>
      </c>
      <c r="AH1080">
        <v>0</v>
      </c>
      <c r="AI1080">
        <v>0</v>
      </c>
      <c r="AJ1080">
        <v>0</v>
      </c>
      <c r="AK1080">
        <v>0</v>
      </c>
      <c r="AL1080">
        <v>0</v>
      </c>
      <c r="AM1080">
        <v>0</v>
      </c>
      <c r="AN1080">
        <v>0</v>
      </c>
      <c r="AO1080">
        <v>0</v>
      </c>
      <c r="AP1080">
        <v>0</v>
      </c>
      <c r="AQ1080">
        <v>19.940000000000001</v>
      </c>
      <c r="AR1080">
        <v>0</v>
      </c>
      <c r="AS1080">
        <v>0</v>
      </c>
      <c r="AT1080">
        <v>0</v>
      </c>
      <c r="AU1080">
        <v>0</v>
      </c>
      <c r="AV1080">
        <v>0</v>
      </c>
      <c r="AW1080">
        <v>0</v>
      </c>
      <c r="AX1080">
        <v>0</v>
      </c>
      <c r="AY1080">
        <v>0</v>
      </c>
      <c r="AZ1080">
        <v>0</v>
      </c>
      <c r="BA1080">
        <v>0</v>
      </c>
      <c r="BB1080">
        <v>0</v>
      </c>
      <c r="BC1080">
        <v>0</v>
      </c>
      <c r="BD1080">
        <v>0</v>
      </c>
      <c r="BE1080">
        <v>0</v>
      </c>
      <c r="BF1080">
        <v>0</v>
      </c>
      <c r="BG1080">
        <v>0</v>
      </c>
      <c r="BH1080">
        <v>1</v>
      </c>
      <c r="BI1080">
        <v>4</v>
      </c>
      <c r="BJ1080">
        <v>1.9</v>
      </c>
      <c r="BK1080">
        <v>4</v>
      </c>
      <c r="BL1080">
        <v>59.43</v>
      </c>
      <c r="BM1080">
        <v>8.91</v>
      </c>
      <c r="BN1080">
        <v>68.34</v>
      </c>
      <c r="BO1080">
        <v>68.34</v>
      </c>
      <c r="BQ1080" t="s">
        <v>1627</v>
      </c>
      <c r="BR1080" t="s">
        <v>82</v>
      </c>
      <c r="BS1080" s="3">
        <v>46000</v>
      </c>
      <c r="BT1080" s="4">
        <v>0.46250000000000002</v>
      </c>
      <c r="BU1080" t="s">
        <v>1834</v>
      </c>
      <c r="BV1080" t="s">
        <v>84</v>
      </c>
      <c r="BY1080">
        <v>9367</v>
      </c>
      <c r="CA1080" t="s">
        <v>409</v>
      </c>
      <c r="CC1080" t="s">
        <v>177</v>
      </c>
      <c r="CD1080">
        <v>2013</v>
      </c>
      <c r="CE1080" t="s">
        <v>86</v>
      </c>
      <c r="CF1080" s="3">
        <v>46001</v>
      </c>
      <c r="CI1080">
        <v>1</v>
      </c>
      <c r="CJ1080">
        <v>1</v>
      </c>
      <c r="CK1080">
        <v>32</v>
      </c>
      <c r="CL1080" t="s">
        <v>87</v>
      </c>
    </row>
    <row r="1081" spans="1:90" x14ac:dyDescent="0.3">
      <c r="A1081" t="s">
        <v>72</v>
      </c>
      <c r="B1081" t="s">
        <v>73</v>
      </c>
      <c r="C1081" t="s">
        <v>74</v>
      </c>
      <c r="E1081" t="str">
        <f>"080069759076"</f>
        <v>080069759076</v>
      </c>
      <c r="F1081" s="3">
        <v>45999</v>
      </c>
      <c r="G1081">
        <v>202609</v>
      </c>
      <c r="H1081" t="s">
        <v>75</v>
      </c>
      <c r="I1081" t="s">
        <v>76</v>
      </c>
      <c r="J1081" t="s">
        <v>77</v>
      </c>
      <c r="K1081" t="s">
        <v>78</v>
      </c>
      <c r="L1081" t="s">
        <v>272</v>
      </c>
      <c r="M1081" t="s">
        <v>273</v>
      </c>
      <c r="N1081" t="s">
        <v>1527</v>
      </c>
      <c r="O1081" t="s">
        <v>89</v>
      </c>
      <c r="P1081" t="str">
        <f>"4170072416                    "</f>
        <v xml:space="preserve">4170072416                    </v>
      </c>
      <c r="Q1081">
        <v>0</v>
      </c>
      <c r="R1081">
        <v>0</v>
      </c>
      <c r="S1081">
        <v>0</v>
      </c>
      <c r="T1081">
        <v>0</v>
      </c>
      <c r="U1081">
        <v>0</v>
      </c>
      <c r="V1081">
        <v>0</v>
      </c>
      <c r="W1081">
        <v>0</v>
      </c>
      <c r="X1081">
        <v>0</v>
      </c>
      <c r="Y1081">
        <v>0</v>
      </c>
      <c r="Z1081">
        <v>0</v>
      </c>
      <c r="AA1081">
        <v>0</v>
      </c>
      <c r="AB1081">
        <v>0</v>
      </c>
      <c r="AC1081">
        <v>0</v>
      </c>
      <c r="AD1081">
        <v>0</v>
      </c>
      <c r="AE1081">
        <v>0</v>
      </c>
      <c r="AF1081">
        <v>0</v>
      </c>
      <c r="AG1081">
        <v>0</v>
      </c>
      <c r="AH1081">
        <v>0</v>
      </c>
      <c r="AI1081">
        <v>0</v>
      </c>
      <c r="AJ1081">
        <v>0</v>
      </c>
      <c r="AK1081">
        <v>0</v>
      </c>
      <c r="AL1081">
        <v>0</v>
      </c>
      <c r="AM1081">
        <v>0</v>
      </c>
      <c r="AN1081">
        <v>0</v>
      </c>
      <c r="AO1081">
        <v>0</v>
      </c>
      <c r="AP1081">
        <v>0</v>
      </c>
      <c r="AQ1081">
        <v>25.52</v>
      </c>
      <c r="AR1081">
        <v>0</v>
      </c>
      <c r="AS1081">
        <v>0</v>
      </c>
      <c r="AT1081">
        <v>0</v>
      </c>
      <c r="AU1081">
        <v>0</v>
      </c>
      <c r="AV1081">
        <v>0</v>
      </c>
      <c r="AW1081">
        <v>0</v>
      </c>
      <c r="AX1081">
        <v>0</v>
      </c>
      <c r="AY1081">
        <v>0</v>
      </c>
      <c r="AZ1081">
        <v>0</v>
      </c>
      <c r="BA1081">
        <v>0</v>
      </c>
      <c r="BB1081">
        <v>0</v>
      </c>
      <c r="BC1081">
        <v>0</v>
      </c>
      <c r="BD1081">
        <v>0</v>
      </c>
      <c r="BE1081">
        <v>0</v>
      </c>
      <c r="BF1081">
        <v>0</v>
      </c>
      <c r="BG1081">
        <v>0</v>
      </c>
      <c r="BH1081">
        <v>1</v>
      </c>
      <c r="BI1081">
        <v>1</v>
      </c>
      <c r="BJ1081">
        <v>0.2</v>
      </c>
      <c r="BK1081">
        <v>1</v>
      </c>
      <c r="BL1081">
        <v>76.06</v>
      </c>
      <c r="BM1081">
        <v>11.41</v>
      </c>
      <c r="BN1081">
        <v>87.47</v>
      </c>
      <c r="BO1081">
        <v>87.47</v>
      </c>
      <c r="BQ1081" t="s">
        <v>1528</v>
      </c>
      <c r="BR1081" t="s">
        <v>82</v>
      </c>
      <c r="BS1081" s="3">
        <v>46000</v>
      </c>
      <c r="BT1081" s="4">
        <v>0.40138888888888891</v>
      </c>
      <c r="BU1081" t="s">
        <v>1734</v>
      </c>
      <c r="BV1081" t="s">
        <v>84</v>
      </c>
      <c r="BY1081">
        <v>1200</v>
      </c>
      <c r="CA1081" t="s">
        <v>277</v>
      </c>
      <c r="CC1081" t="s">
        <v>273</v>
      </c>
      <c r="CD1081">
        <v>6220</v>
      </c>
      <c r="CE1081" t="s">
        <v>134</v>
      </c>
      <c r="CF1081" s="3">
        <v>46000</v>
      </c>
      <c r="CI1081">
        <v>1</v>
      </c>
      <c r="CJ1081">
        <v>1</v>
      </c>
      <c r="CK1081">
        <v>21</v>
      </c>
      <c r="CL1081" t="s">
        <v>87</v>
      </c>
    </row>
    <row r="1082" spans="1:90" x14ac:dyDescent="0.3">
      <c r="A1082" t="s">
        <v>72</v>
      </c>
      <c r="B1082" t="s">
        <v>73</v>
      </c>
      <c r="C1082" t="s">
        <v>74</v>
      </c>
      <c r="E1082" t="str">
        <f>"080069759109"</f>
        <v>080069759109</v>
      </c>
      <c r="F1082" s="3">
        <v>45999</v>
      </c>
      <c r="G1082">
        <v>202609</v>
      </c>
      <c r="H1082" t="s">
        <v>75</v>
      </c>
      <c r="I1082" t="s">
        <v>76</v>
      </c>
      <c r="J1082" t="s">
        <v>77</v>
      </c>
      <c r="K1082" t="s">
        <v>78</v>
      </c>
      <c r="L1082" t="s">
        <v>612</v>
      </c>
      <c r="M1082" t="s">
        <v>613</v>
      </c>
      <c r="N1082" t="s">
        <v>614</v>
      </c>
      <c r="O1082" t="s">
        <v>89</v>
      </c>
      <c r="P1082" t="str">
        <f>"4170072405                    "</f>
        <v xml:space="preserve">4170072405                    </v>
      </c>
      <c r="Q1082">
        <v>0</v>
      </c>
      <c r="R1082">
        <v>0</v>
      </c>
      <c r="S1082">
        <v>0</v>
      </c>
      <c r="T1082">
        <v>0</v>
      </c>
      <c r="U1082">
        <v>0</v>
      </c>
      <c r="V1082">
        <v>0</v>
      </c>
      <c r="W1082">
        <v>0</v>
      </c>
      <c r="X1082">
        <v>0</v>
      </c>
      <c r="Y1082">
        <v>0</v>
      </c>
      <c r="Z1082">
        <v>0</v>
      </c>
      <c r="AA1082">
        <v>0</v>
      </c>
      <c r="AB1082">
        <v>0</v>
      </c>
      <c r="AC1082">
        <v>0</v>
      </c>
      <c r="AD1082">
        <v>0</v>
      </c>
      <c r="AE1082">
        <v>0</v>
      </c>
      <c r="AF1082">
        <v>0</v>
      </c>
      <c r="AG1082">
        <v>0</v>
      </c>
      <c r="AH1082">
        <v>0</v>
      </c>
      <c r="AI1082">
        <v>0</v>
      </c>
      <c r="AJ1082">
        <v>0</v>
      </c>
      <c r="AK1082">
        <v>0</v>
      </c>
      <c r="AL1082">
        <v>0</v>
      </c>
      <c r="AM1082">
        <v>0</v>
      </c>
      <c r="AN1082">
        <v>0</v>
      </c>
      <c r="AO1082">
        <v>0</v>
      </c>
      <c r="AP1082">
        <v>0</v>
      </c>
      <c r="AQ1082">
        <v>49.45</v>
      </c>
      <c r="AR1082">
        <v>0</v>
      </c>
      <c r="AS1082">
        <v>0</v>
      </c>
      <c r="AT1082">
        <v>0</v>
      </c>
      <c r="AU1082">
        <v>0</v>
      </c>
      <c r="AV1082">
        <v>0</v>
      </c>
      <c r="AW1082">
        <v>0</v>
      </c>
      <c r="AX1082">
        <v>0</v>
      </c>
      <c r="AY1082">
        <v>0</v>
      </c>
      <c r="AZ1082">
        <v>0</v>
      </c>
      <c r="BA1082">
        <v>0</v>
      </c>
      <c r="BB1082">
        <v>0</v>
      </c>
      <c r="BC1082">
        <v>0</v>
      </c>
      <c r="BD1082">
        <v>0</v>
      </c>
      <c r="BE1082">
        <v>0</v>
      </c>
      <c r="BF1082">
        <v>0</v>
      </c>
      <c r="BG1082">
        <v>0</v>
      </c>
      <c r="BH1082">
        <v>1</v>
      </c>
      <c r="BI1082">
        <v>1</v>
      </c>
      <c r="BJ1082">
        <v>0.2</v>
      </c>
      <c r="BK1082">
        <v>1</v>
      </c>
      <c r="BL1082">
        <v>147.38</v>
      </c>
      <c r="BM1082">
        <v>22.11</v>
      </c>
      <c r="BN1082">
        <v>169.49</v>
      </c>
      <c r="BO1082">
        <v>169.49</v>
      </c>
      <c r="BQ1082" t="s">
        <v>615</v>
      </c>
      <c r="BR1082" t="s">
        <v>82</v>
      </c>
      <c r="BS1082" t="s">
        <v>500</v>
      </c>
      <c r="BY1082">
        <v>1200</v>
      </c>
      <c r="CC1082" t="s">
        <v>613</v>
      </c>
      <c r="CD1082">
        <v>6850</v>
      </c>
      <c r="CE1082" t="s">
        <v>134</v>
      </c>
      <c r="CI1082">
        <v>2</v>
      </c>
      <c r="CJ1082" t="s">
        <v>500</v>
      </c>
      <c r="CK1082">
        <v>23</v>
      </c>
      <c r="CL1082" t="s">
        <v>87</v>
      </c>
    </row>
    <row r="1083" spans="1:90" x14ac:dyDescent="0.3">
      <c r="A1083" t="s">
        <v>72</v>
      </c>
      <c r="B1083" t="s">
        <v>73</v>
      </c>
      <c r="C1083" t="s">
        <v>74</v>
      </c>
      <c r="E1083" t="str">
        <f>"080069759111"</f>
        <v>080069759111</v>
      </c>
      <c r="F1083" s="3">
        <v>45999</v>
      </c>
      <c r="G1083">
        <v>202609</v>
      </c>
      <c r="H1083" t="s">
        <v>75</v>
      </c>
      <c r="I1083" t="s">
        <v>76</v>
      </c>
      <c r="J1083" t="s">
        <v>77</v>
      </c>
      <c r="K1083" t="s">
        <v>78</v>
      </c>
      <c r="L1083" t="s">
        <v>100</v>
      </c>
      <c r="M1083" t="s">
        <v>101</v>
      </c>
      <c r="N1083" t="s">
        <v>166</v>
      </c>
      <c r="O1083" t="s">
        <v>89</v>
      </c>
      <c r="P1083" t="str">
        <f>"4170072505                    "</f>
        <v xml:space="preserve">4170072505                    </v>
      </c>
      <c r="Q1083">
        <v>0</v>
      </c>
      <c r="R1083">
        <v>0</v>
      </c>
      <c r="S1083">
        <v>0</v>
      </c>
      <c r="T1083">
        <v>0</v>
      </c>
      <c r="U1083">
        <v>0</v>
      </c>
      <c r="V1083">
        <v>0</v>
      </c>
      <c r="W1083">
        <v>0</v>
      </c>
      <c r="X1083">
        <v>0</v>
      </c>
      <c r="Y1083">
        <v>0</v>
      </c>
      <c r="Z1083">
        <v>0</v>
      </c>
      <c r="AA1083">
        <v>0</v>
      </c>
      <c r="AB1083">
        <v>0</v>
      </c>
      <c r="AC1083">
        <v>0</v>
      </c>
      <c r="AD1083">
        <v>0</v>
      </c>
      <c r="AE1083">
        <v>0</v>
      </c>
      <c r="AF1083">
        <v>0</v>
      </c>
      <c r="AG1083">
        <v>0</v>
      </c>
      <c r="AH1083">
        <v>0</v>
      </c>
      <c r="AI1083">
        <v>0</v>
      </c>
      <c r="AJ1083">
        <v>0</v>
      </c>
      <c r="AK1083">
        <v>0</v>
      </c>
      <c r="AL1083">
        <v>0</v>
      </c>
      <c r="AM1083">
        <v>0</v>
      </c>
      <c r="AN1083">
        <v>0</v>
      </c>
      <c r="AO1083">
        <v>0</v>
      </c>
      <c r="AP1083">
        <v>0</v>
      </c>
      <c r="AQ1083">
        <v>25.52</v>
      </c>
      <c r="AR1083">
        <v>0</v>
      </c>
      <c r="AS1083">
        <v>0</v>
      </c>
      <c r="AT1083">
        <v>0</v>
      </c>
      <c r="AU1083">
        <v>0</v>
      </c>
      <c r="AV1083">
        <v>0</v>
      </c>
      <c r="AW1083">
        <v>0</v>
      </c>
      <c r="AX1083">
        <v>0</v>
      </c>
      <c r="AY1083">
        <v>0</v>
      </c>
      <c r="AZ1083">
        <v>0</v>
      </c>
      <c r="BA1083">
        <v>0</v>
      </c>
      <c r="BB1083">
        <v>0</v>
      </c>
      <c r="BC1083">
        <v>0</v>
      </c>
      <c r="BD1083">
        <v>0</v>
      </c>
      <c r="BE1083">
        <v>0</v>
      </c>
      <c r="BF1083">
        <v>0</v>
      </c>
      <c r="BG1083">
        <v>0</v>
      </c>
      <c r="BH1083">
        <v>1</v>
      </c>
      <c r="BI1083">
        <v>1</v>
      </c>
      <c r="BJ1083">
        <v>1.7</v>
      </c>
      <c r="BK1083">
        <v>2</v>
      </c>
      <c r="BL1083">
        <v>76.06</v>
      </c>
      <c r="BM1083">
        <v>11.41</v>
      </c>
      <c r="BN1083">
        <v>87.47</v>
      </c>
      <c r="BO1083">
        <v>87.47</v>
      </c>
      <c r="BQ1083" t="s">
        <v>167</v>
      </c>
      <c r="BR1083" t="s">
        <v>82</v>
      </c>
      <c r="BS1083" s="3">
        <v>46000</v>
      </c>
      <c r="BT1083" s="4">
        <v>0.38611111111111113</v>
      </c>
      <c r="BU1083" t="s">
        <v>928</v>
      </c>
      <c r="BV1083" t="s">
        <v>84</v>
      </c>
      <c r="BY1083">
        <v>8550</v>
      </c>
      <c r="CA1083" t="s">
        <v>929</v>
      </c>
      <c r="CC1083" t="s">
        <v>101</v>
      </c>
      <c r="CD1083">
        <v>4000</v>
      </c>
      <c r="CE1083" t="s">
        <v>86</v>
      </c>
      <c r="CF1083" s="3">
        <v>46000</v>
      </c>
      <c r="CI1083">
        <v>1</v>
      </c>
      <c r="CJ1083">
        <v>1</v>
      </c>
      <c r="CK1083">
        <v>21</v>
      </c>
      <c r="CL1083" t="s">
        <v>87</v>
      </c>
    </row>
    <row r="1084" spans="1:90" x14ac:dyDescent="0.3">
      <c r="A1084" t="s">
        <v>72</v>
      </c>
      <c r="B1084" t="s">
        <v>73</v>
      </c>
      <c r="C1084" t="s">
        <v>74</v>
      </c>
      <c r="E1084" t="str">
        <f>"080069759138"</f>
        <v>080069759138</v>
      </c>
      <c r="F1084" s="3">
        <v>45999</v>
      </c>
      <c r="G1084">
        <v>202609</v>
      </c>
      <c r="H1084" t="s">
        <v>75</v>
      </c>
      <c r="I1084" t="s">
        <v>76</v>
      </c>
      <c r="J1084" t="s">
        <v>77</v>
      </c>
      <c r="K1084" t="s">
        <v>78</v>
      </c>
      <c r="L1084" t="s">
        <v>141</v>
      </c>
      <c r="M1084" t="s">
        <v>142</v>
      </c>
      <c r="N1084" t="s">
        <v>1714</v>
      </c>
      <c r="O1084" t="s">
        <v>89</v>
      </c>
      <c r="P1084" t="str">
        <f>"4170072562                    "</f>
        <v xml:space="preserve">4170072562                    </v>
      </c>
      <c r="Q1084">
        <v>0</v>
      </c>
      <c r="R1084">
        <v>0</v>
      </c>
      <c r="S1084">
        <v>0</v>
      </c>
      <c r="T1084">
        <v>0</v>
      </c>
      <c r="U1084">
        <v>0</v>
      </c>
      <c r="V1084">
        <v>0</v>
      </c>
      <c r="W1084">
        <v>0</v>
      </c>
      <c r="X1084">
        <v>0</v>
      </c>
      <c r="Y1084">
        <v>0</v>
      </c>
      <c r="Z1084">
        <v>0</v>
      </c>
      <c r="AA1084">
        <v>0</v>
      </c>
      <c r="AB1084">
        <v>0</v>
      </c>
      <c r="AC1084">
        <v>0</v>
      </c>
      <c r="AD1084">
        <v>0</v>
      </c>
      <c r="AE1084">
        <v>0</v>
      </c>
      <c r="AF1084">
        <v>0</v>
      </c>
      <c r="AG1084">
        <v>0</v>
      </c>
      <c r="AH1084">
        <v>0</v>
      </c>
      <c r="AI1084">
        <v>0</v>
      </c>
      <c r="AJ1084">
        <v>0</v>
      </c>
      <c r="AK1084">
        <v>0</v>
      </c>
      <c r="AL1084">
        <v>0</v>
      </c>
      <c r="AM1084">
        <v>0</v>
      </c>
      <c r="AN1084">
        <v>0</v>
      </c>
      <c r="AO1084">
        <v>0</v>
      </c>
      <c r="AP1084">
        <v>0</v>
      </c>
      <c r="AQ1084">
        <v>25.52</v>
      </c>
      <c r="AR1084">
        <v>0</v>
      </c>
      <c r="AS1084">
        <v>0</v>
      </c>
      <c r="AT1084">
        <v>0</v>
      </c>
      <c r="AU1084">
        <v>0</v>
      </c>
      <c r="AV1084">
        <v>0</v>
      </c>
      <c r="AW1084">
        <v>0</v>
      </c>
      <c r="AX1084">
        <v>0</v>
      </c>
      <c r="AY1084">
        <v>0</v>
      </c>
      <c r="AZ1084">
        <v>0</v>
      </c>
      <c r="BA1084">
        <v>0</v>
      </c>
      <c r="BB1084">
        <v>0</v>
      </c>
      <c r="BC1084">
        <v>0</v>
      </c>
      <c r="BD1084">
        <v>0</v>
      </c>
      <c r="BE1084">
        <v>0</v>
      </c>
      <c r="BF1084">
        <v>0</v>
      </c>
      <c r="BG1084">
        <v>0</v>
      </c>
      <c r="BH1084">
        <v>1</v>
      </c>
      <c r="BI1084">
        <v>1</v>
      </c>
      <c r="BJ1084">
        <v>0.2</v>
      </c>
      <c r="BK1084">
        <v>1</v>
      </c>
      <c r="BL1084">
        <v>76.06</v>
      </c>
      <c r="BM1084">
        <v>11.41</v>
      </c>
      <c r="BN1084">
        <v>87.47</v>
      </c>
      <c r="BO1084">
        <v>87.47</v>
      </c>
      <c r="BQ1084" t="s">
        <v>1715</v>
      </c>
      <c r="BR1084" t="s">
        <v>82</v>
      </c>
      <c r="BS1084" s="3">
        <v>46000</v>
      </c>
      <c r="BT1084" s="4">
        <v>0.3888888888888889</v>
      </c>
      <c r="BU1084" t="s">
        <v>1716</v>
      </c>
      <c r="BV1084" t="s">
        <v>84</v>
      </c>
      <c r="BY1084">
        <v>1200</v>
      </c>
      <c r="CA1084" t="s">
        <v>1228</v>
      </c>
      <c r="CC1084" t="s">
        <v>142</v>
      </c>
      <c r="CD1084">
        <v>6001</v>
      </c>
      <c r="CE1084" t="s">
        <v>134</v>
      </c>
      <c r="CF1084" s="3">
        <v>46000</v>
      </c>
      <c r="CI1084">
        <v>1</v>
      </c>
      <c r="CJ1084">
        <v>1</v>
      </c>
      <c r="CK1084">
        <v>21</v>
      </c>
      <c r="CL1084" t="s">
        <v>87</v>
      </c>
    </row>
    <row r="1085" spans="1:90" x14ac:dyDescent="0.3">
      <c r="A1085" t="s">
        <v>72</v>
      </c>
      <c r="B1085" t="s">
        <v>73</v>
      </c>
      <c r="C1085" t="s">
        <v>74</v>
      </c>
      <c r="E1085" t="str">
        <f>"080069759191"</f>
        <v>080069759191</v>
      </c>
      <c r="F1085" s="3">
        <v>45999</v>
      </c>
      <c r="G1085">
        <v>202609</v>
      </c>
      <c r="H1085" t="s">
        <v>75</v>
      </c>
      <c r="I1085" t="s">
        <v>76</v>
      </c>
      <c r="J1085" t="s">
        <v>77</v>
      </c>
      <c r="K1085" t="s">
        <v>78</v>
      </c>
      <c r="L1085" t="s">
        <v>141</v>
      </c>
      <c r="M1085" t="s">
        <v>142</v>
      </c>
      <c r="N1085" t="s">
        <v>637</v>
      </c>
      <c r="O1085" t="s">
        <v>89</v>
      </c>
      <c r="P1085" t="str">
        <f>"4170072547                    "</f>
        <v xml:space="preserve">4170072547                    </v>
      </c>
      <c r="Q1085">
        <v>0</v>
      </c>
      <c r="R1085">
        <v>0</v>
      </c>
      <c r="S1085">
        <v>0</v>
      </c>
      <c r="T1085">
        <v>0</v>
      </c>
      <c r="U1085">
        <v>0</v>
      </c>
      <c r="V1085">
        <v>0</v>
      </c>
      <c r="W1085">
        <v>0</v>
      </c>
      <c r="X1085">
        <v>0</v>
      </c>
      <c r="Y1085">
        <v>0</v>
      </c>
      <c r="Z1085">
        <v>0</v>
      </c>
      <c r="AA1085">
        <v>0</v>
      </c>
      <c r="AB1085">
        <v>0</v>
      </c>
      <c r="AC1085">
        <v>0</v>
      </c>
      <c r="AD1085">
        <v>0</v>
      </c>
      <c r="AE1085">
        <v>0</v>
      </c>
      <c r="AF1085">
        <v>0</v>
      </c>
      <c r="AG1085">
        <v>0</v>
      </c>
      <c r="AH1085">
        <v>0</v>
      </c>
      <c r="AI1085">
        <v>0</v>
      </c>
      <c r="AJ1085">
        <v>0</v>
      </c>
      <c r="AK1085">
        <v>0</v>
      </c>
      <c r="AL1085">
        <v>0</v>
      </c>
      <c r="AM1085">
        <v>0</v>
      </c>
      <c r="AN1085">
        <v>0</v>
      </c>
      <c r="AO1085">
        <v>0</v>
      </c>
      <c r="AP1085">
        <v>0</v>
      </c>
      <c r="AQ1085">
        <v>63.79</v>
      </c>
      <c r="AR1085">
        <v>0</v>
      </c>
      <c r="AS1085">
        <v>0</v>
      </c>
      <c r="AT1085">
        <v>0</v>
      </c>
      <c r="AU1085">
        <v>0</v>
      </c>
      <c r="AV1085">
        <v>0</v>
      </c>
      <c r="AW1085">
        <v>0</v>
      </c>
      <c r="AX1085">
        <v>0</v>
      </c>
      <c r="AY1085">
        <v>0</v>
      </c>
      <c r="AZ1085">
        <v>0</v>
      </c>
      <c r="BA1085">
        <v>0</v>
      </c>
      <c r="BB1085">
        <v>0</v>
      </c>
      <c r="BC1085">
        <v>0</v>
      </c>
      <c r="BD1085">
        <v>0</v>
      </c>
      <c r="BE1085">
        <v>0</v>
      </c>
      <c r="BF1085">
        <v>0</v>
      </c>
      <c r="BG1085">
        <v>0</v>
      </c>
      <c r="BH1085">
        <v>2</v>
      </c>
      <c r="BI1085">
        <v>5</v>
      </c>
      <c r="BJ1085">
        <v>1.7</v>
      </c>
      <c r="BK1085">
        <v>5</v>
      </c>
      <c r="BL1085">
        <v>190.11</v>
      </c>
      <c r="BM1085">
        <v>28.52</v>
      </c>
      <c r="BN1085">
        <v>218.63</v>
      </c>
      <c r="BO1085">
        <v>218.63</v>
      </c>
      <c r="BQ1085" t="s">
        <v>638</v>
      </c>
      <c r="BR1085" t="s">
        <v>82</v>
      </c>
      <c r="BS1085" s="3">
        <v>46000</v>
      </c>
      <c r="BT1085" s="4">
        <v>0.37152777777777779</v>
      </c>
      <c r="BU1085" t="s">
        <v>1660</v>
      </c>
      <c r="BV1085" t="s">
        <v>84</v>
      </c>
      <c r="BY1085">
        <v>8688</v>
      </c>
      <c r="CA1085" t="s">
        <v>489</v>
      </c>
      <c r="CC1085" t="s">
        <v>142</v>
      </c>
      <c r="CD1085">
        <v>6001</v>
      </c>
      <c r="CE1085" t="s">
        <v>134</v>
      </c>
      <c r="CF1085" s="3">
        <v>46000</v>
      </c>
      <c r="CI1085">
        <v>1</v>
      </c>
      <c r="CJ1085">
        <v>1</v>
      </c>
      <c r="CK1085">
        <v>21</v>
      </c>
      <c r="CL1085" t="s">
        <v>87</v>
      </c>
    </row>
    <row r="1086" spans="1:90" x14ac:dyDescent="0.3">
      <c r="A1086" t="s">
        <v>72</v>
      </c>
      <c r="B1086" t="s">
        <v>73</v>
      </c>
      <c r="C1086" t="s">
        <v>74</v>
      </c>
      <c r="E1086" t="str">
        <f>"080069759426"</f>
        <v>080069759426</v>
      </c>
      <c r="F1086" s="3">
        <v>45999</v>
      </c>
      <c r="G1086">
        <v>202609</v>
      </c>
      <c r="H1086" t="s">
        <v>75</v>
      </c>
      <c r="I1086" t="s">
        <v>76</v>
      </c>
      <c r="J1086" t="s">
        <v>77</v>
      </c>
      <c r="K1086" t="s">
        <v>78</v>
      </c>
      <c r="L1086" t="s">
        <v>399</v>
      </c>
      <c r="M1086" t="s">
        <v>400</v>
      </c>
      <c r="N1086" t="s">
        <v>1835</v>
      </c>
      <c r="O1086" t="s">
        <v>89</v>
      </c>
      <c r="P1086" t="str">
        <f>"4170072457                    "</f>
        <v xml:space="preserve">4170072457                    </v>
      </c>
      <c r="Q1086">
        <v>0</v>
      </c>
      <c r="R1086">
        <v>0</v>
      </c>
      <c r="S1086">
        <v>0</v>
      </c>
      <c r="T1086">
        <v>0</v>
      </c>
      <c r="U1086">
        <v>0</v>
      </c>
      <c r="V1086">
        <v>0</v>
      </c>
      <c r="W1086">
        <v>0</v>
      </c>
      <c r="X1086">
        <v>0</v>
      </c>
      <c r="Y1086">
        <v>0</v>
      </c>
      <c r="Z1086">
        <v>0</v>
      </c>
      <c r="AA1086">
        <v>0</v>
      </c>
      <c r="AB1086">
        <v>0</v>
      </c>
      <c r="AC1086">
        <v>0</v>
      </c>
      <c r="AD1086">
        <v>0</v>
      </c>
      <c r="AE1086">
        <v>0</v>
      </c>
      <c r="AF1086">
        <v>0</v>
      </c>
      <c r="AG1086">
        <v>0</v>
      </c>
      <c r="AH1086">
        <v>0</v>
      </c>
      <c r="AI1086">
        <v>0</v>
      </c>
      <c r="AJ1086">
        <v>0</v>
      </c>
      <c r="AK1086">
        <v>0</v>
      </c>
      <c r="AL1086">
        <v>0</v>
      </c>
      <c r="AM1086">
        <v>0</v>
      </c>
      <c r="AN1086">
        <v>0</v>
      </c>
      <c r="AO1086">
        <v>0</v>
      </c>
      <c r="AP1086">
        <v>0</v>
      </c>
      <c r="AQ1086">
        <v>19.940000000000001</v>
      </c>
      <c r="AR1086">
        <v>0</v>
      </c>
      <c r="AS1086">
        <v>0</v>
      </c>
      <c r="AT1086">
        <v>0</v>
      </c>
      <c r="AU1086">
        <v>0</v>
      </c>
      <c r="AV1086">
        <v>0</v>
      </c>
      <c r="AW1086">
        <v>0</v>
      </c>
      <c r="AX1086">
        <v>0</v>
      </c>
      <c r="AY1086">
        <v>0</v>
      </c>
      <c r="AZ1086">
        <v>0</v>
      </c>
      <c r="BA1086">
        <v>0</v>
      </c>
      <c r="BB1086">
        <v>0</v>
      </c>
      <c r="BC1086">
        <v>0</v>
      </c>
      <c r="BD1086">
        <v>0</v>
      </c>
      <c r="BE1086">
        <v>0</v>
      </c>
      <c r="BF1086">
        <v>0</v>
      </c>
      <c r="BG1086">
        <v>0</v>
      </c>
      <c r="BH1086">
        <v>1</v>
      </c>
      <c r="BI1086">
        <v>1</v>
      </c>
      <c r="BJ1086">
        <v>0.2</v>
      </c>
      <c r="BK1086">
        <v>1</v>
      </c>
      <c r="BL1086">
        <v>59.42</v>
      </c>
      <c r="BM1086">
        <v>8.91</v>
      </c>
      <c r="BN1086">
        <v>68.33</v>
      </c>
      <c r="BO1086">
        <v>68.33</v>
      </c>
      <c r="BQ1086" t="s">
        <v>1836</v>
      </c>
      <c r="BR1086" t="s">
        <v>82</v>
      </c>
      <c r="BS1086" s="3">
        <v>46000</v>
      </c>
      <c r="BT1086" s="4">
        <v>0.35902777777777778</v>
      </c>
      <c r="BU1086" t="s">
        <v>1837</v>
      </c>
      <c r="BV1086" t="s">
        <v>84</v>
      </c>
      <c r="BY1086">
        <v>1200</v>
      </c>
      <c r="CA1086" t="s">
        <v>973</v>
      </c>
      <c r="CC1086" t="s">
        <v>400</v>
      </c>
      <c r="CD1086">
        <v>1709</v>
      </c>
      <c r="CE1086" t="s">
        <v>134</v>
      </c>
      <c r="CF1086" s="3">
        <v>46001</v>
      </c>
      <c r="CI1086">
        <v>1</v>
      </c>
      <c r="CJ1086">
        <v>1</v>
      </c>
      <c r="CK1086">
        <v>22</v>
      </c>
      <c r="CL1086" t="s">
        <v>87</v>
      </c>
    </row>
    <row r="1087" spans="1:90" x14ac:dyDescent="0.3">
      <c r="A1087" t="s">
        <v>72</v>
      </c>
      <c r="B1087" t="s">
        <v>73</v>
      </c>
      <c r="C1087" t="s">
        <v>74</v>
      </c>
      <c r="E1087" t="str">
        <f>"080069759451"</f>
        <v>080069759451</v>
      </c>
      <c r="F1087" s="3">
        <v>45999</v>
      </c>
      <c r="G1087">
        <v>202609</v>
      </c>
      <c r="H1087" t="s">
        <v>75</v>
      </c>
      <c r="I1087" t="s">
        <v>76</v>
      </c>
      <c r="J1087" t="s">
        <v>77</v>
      </c>
      <c r="K1087" t="s">
        <v>78</v>
      </c>
      <c r="L1087" t="s">
        <v>94</v>
      </c>
      <c r="M1087" t="s">
        <v>95</v>
      </c>
      <c r="N1087" t="s">
        <v>1838</v>
      </c>
      <c r="O1087" t="s">
        <v>89</v>
      </c>
      <c r="P1087" t="str">
        <f>"4170072530                    "</f>
        <v xml:space="preserve">4170072530                    </v>
      </c>
      <c r="Q1087">
        <v>0</v>
      </c>
      <c r="R1087">
        <v>0</v>
      </c>
      <c r="S1087">
        <v>0</v>
      </c>
      <c r="T1087">
        <v>0</v>
      </c>
      <c r="U1087">
        <v>0</v>
      </c>
      <c r="V1087">
        <v>0</v>
      </c>
      <c r="W1087">
        <v>0</v>
      </c>
      <c r="X1087">
        <v>0</v>
      </c>
      <c r="Y1087">
        <v>0</v>
      </c>
      <c r="Z1087">
        <v>0</v>
      </c>
      <c r="AA1087">
        <v>0</v>
      </c>
      <c r="AB1087">
        <v>0</v>
      </c>
      <c r="AC1087">
        <v>0</v>
      </c>
      <c r="AD1087">
        <v>0</v>
      </c>
      <c r="AE1087">
        <v>0</v>
      </c>
      <c r="AF1087">
        <v>0</v>
      </c>
      <c r="AG1087">
        <v>0</v>
      </c>
      <c r="AH1087">
        <v>0</v>
      </c>
      <c r="AI1087">
        <v>0</v>
      </c>
      <c r="AJ1087">
        <v>0</v>
      </c>
      <c r="AK1087">
        <v>0</v>
      </c>
      <c r="AL1087">
        <v>0</v>
      </c>
      <c r="AM1087">
        <v>0</v>
      </c>
      <c r="AN1087">
        <v>0</v>
      </c>
      <c r="AO1087">
        <v>0</v>
      </c>
      <c r="AP1087">
        <v>0</v>
      </c>
      <c r="AQ1087">
        <v>25.52</v>
      </c>
      <c r="AR1087">
        <v>0</v>
      </c>
      <c r="AS1087">
        <v>0</v>
      </c>
      <c r="AT1087">
        <v>0</v>
      </c>
      <c r="AU1087">
        <v>0</v>
      </c>
      <c r="AV1087">
        <v>0</v>
      </c>
      <c r="AW1087">
        <v>0</v>
      </c>
      <c r="AX1087">
        <v>0</v>
      </c>
      <c r="AY1087">
        <v>0</v>
      </c>
      <c r="AZ1087">
        <v>0</v>
      </c>
      <c r="BA1087">
        <v>0</v>
      </c>
      <c r="BB1087">
        <v>0</v>
      </c>
      <c r="BC1087">
        <v>0</v>
      </c>
      <c r="BD1087">
        <v>0</v>
      </c>
      <c r="BE1087">
        <v>0</v>
      </c>
      <c r="BF1087">
        <v>0</v>
      </c>
      <c r="BG1087">
        <v>0</v>
      </c>
      <c r="BH1087">
        <v>1</v>
      </c>
      <c r="BI1087">
        <v>1</v>
      </c>
      <c r="BJ1087">
        <v>0.2</v>
      </c>
      <c r="BK1087">
        <v>1</v>
      </c>
      <c r="BL1087">
        <v>76.06</v>
      </c>
      <c r="BM1087">
        <v>11.41</v>
      </c>
      <c r="BN1087">
        <v>87.47</v>
      </c>
      <c r="BO1087">
        <v>87.47</v>
      </c>
      <c r="BQ1087" t="s">
        <v>1839</v>
      </c>
      <c r="BR1087" t="s">
        <v>82</v>
      </c>
      <c r="BS1087" s="3">
        <v>46000</v>
      </c>
      <c r="BT1087" s="4">
        <v>0.40277777777777779</v>
      </c>
      <c r="BU1087" t="s">
        <v>1695</v>
      </c>
      <c r="BV1087" t="s">
        <v>84</v>
      </c>
      <c r="BY1087">
        <v>1200</v>
      </c>
      <c r="CA1087" t="s">
        <v>929</v>
      </c>
      <c r="CC1087" t="s">
        <v>95</v>
      </c>
      <c r="CD1087">
        <v>3610</v>
      </c>
      <c r="CE1087" t="s">
        <v>134</v>
      </c>
      <c r="CF1087" s="3">
        <v>46000</v>
      </c>
      <c r="CI1087">
        <v>1</v>
      </c>
      <c r="CJ1087">
        <v>1</v>
      </c>
      <c r="CK1087">
        <v>21</v>
      </c>
      <c r="CL1087" t="s">
        <v>87</v>
      </c>
    </row>
    <row r="1088" spans="1:90" x14ac:dyDescent="0.3">
      <c r="A1088" t="s">
        <v>72</v>
      </c>
      <c r="B1088" t="s">
        <v>73</v>
      </c>
      <c r="C1088" t="s">
        <v>74</v>
      </c>
      <c r="E1088" t="str">
        <f>"080069759489"</f>
        <v>080069759489</v>
      </c>
      <c r="F1088" s="3">
        <v>45999</v>
      </c>
      <c r="G1088">
        <v>202609</v>
      </c>
      <c r="H1088" t="s">
        <v>75</v>
      </c>
      <c r="I1088" t="s">
        <v>76</v>
      </c>
      <c r="J1088" t="s">
        <v>77</v>
      </c>
      <c r="K1088" t="s">
        <v>78</v>
      </c>
      <c r="L1088" t="s">
        <v>283</v>
      </c>
      <c r="M1088" t="s">
        <v>284</v>
      </c>
      <c r="N1088" t="s">
        <v>285</v>
      </c>
      <c r="O1088" t="s">
        <v>89</v>
      </c>
      <c r="P1088" t="str">
        <f>"4170072543                    "</f>
        <v xml:space="preserve">4170072543                    </v>
      </c>
      <c r="Q1088">
        <v>0</v>
      </c>
      <c r="R1088">
        <v>0</v>
      </c>
      <c r="S1088">
        <v>0</v>
      </c>
      <c r="T1088">
        <v>0</v>
      </c>
      <c r="U1088">
        <v>0</v>
      </c>
      <c r="V1088">
        <v>0</v>
      </c>
      <c r="W1088">
        <v>0</v>
      </c>
      <c r="X1088">
        <v>0</v>
      </c>
      <c r="Y1088">
        <v>0</v>
      </c>
      <c r="Z1088">
        <v>0</v>
      </c>
      <c r="AA1088">
        <v>0</v>
      </c>
      <c r="AB1088">
        <v>0</v>
      </c>
      <c r="AC1088">
        <v>0</v>
      </c>
      <c r="AD1088">
        <v>0</v>
      </c>
      <c r="AE1088">
        <v>0</v>
      </c>
      <c r="AF1088">
        <v>0</v>
      </c>
      <c r="AG1088">
        <v>0</v>
      </c>
      <c r="AH1088">
        <v>0</v>
      </c>
      <c r="AI1088">
        <v>0</v>
      </c>
      <c r="AJ1088">
        <v>0</v>
      </c>
      <c r="AK1088">
        <v>0</v>
      </c>
      <c r="AL1088">
        <v>0</v>
      </c>
      <c r="AM1088">
        <v>0</v>
      </c>
      <c r="AN1088">
        <v>0</v>
      </c>
      <c r="AO1088">
        <v>0</v>
      </c>
      <c r="AP1088">
        <v>0</v>
      </c>
      <c r="AQ1088">
        <v>49.45</v>
      </c>
      <c r="AR1088">
        <v>0</v>
      </c>
      <c r="AS1088">
        <v>0</v>
      </c>
      <c r="AT1088">
        <v>0</v>
      </c>
      <c r="AU1088">
        <v>0</v>
      </c>
      <c r="AV1088">
        <v>0</v>
      </c>
      <c r="AW1088">
        <v>0</v>
      </c>
      <c r="AX1088">
        <v>0</v>
      </c>
      <c r="AY1088">
        <v>0</v>
      </c>
      <c r="AZ1088">
        <v>0</v>
      </c>
      <c r="BA1088">
        <v>0</v>
      </c>
      <c r="BB1088">
        <v>0</v>
      </c>
      <c r="BC1088">
        <v>0</v>
      </c>
      <c r="BD1088">
        <v>0</v>
      </c>
      <c r="BE1088">
        <v>0</v>
      </c>
      <c r="BF1088">
        <v>0</v>
      </c>
      <c r="BG1088">
        <v>0</v>
      </c>
      <c r="BH1088">
        <v>1</v>
      </c>
      <c r="BI1088">
        <v>1</v>
      </c>
      <c r="BJ1088">
        <v>0.2</v>
      </c>
      <c r="BK1088">
        <v>1</v>
      </c>
      <c r="BL1088">
        <v>147.38</v>
      </c>
      <c r="BM1088">
        <v>22.11</v>
      </c>
      <c r="BN1088">
        <v>169.49</v>
      </c>
      <c r="BO1088">
        <v>169.49</v>
      </c>
      <c r="BQ1088" t="s">
        <v>286</v>
      </c>
      <c r="BR1088" t="s">
        <v>82</v>
      </c>
      <c r="BS1088" s="3">
        <v>46000</v>
      </c>
      <c r="BT1088" s="4">
        <v>0.37222222222222223</v>
      </c>
      <c r="BU1088" t="s">
        <v>287</v>
      </c>
      <c r="BV1088" t="s">
        <v>84</v>
      </c>
      <c r="BY1088">
        <v>1200</v>
      </c>
      <c r="CA1088">
        <v>6805135560080</v>
      </c>
      <c r="CC1088" t="s">
        <v>284</v>
      </c>
      <c r="CD1088">
        <v>1947</v>
      </c>
      <c r="CE1088" t="s">
        <v>134</v>
      </c>
      <c r="CF1088" s="3">
        <v>46001</v>
      </c>
      <c r="CI1088">
        <v>1</v>
      </c>
      <c r="CJ1088">
        <v>1</v>
      </c>
      <c r="CK1088">
        <v>23</v>
      </c>
      <c r="CL1088" t="s">
        <v>87</v>
      </c>
    </row>
    <row r="1089" spans="1:90" x14ac:dyDescent="0.3">
      <c r="A1089" t="s">
        <v>72</v>
      </c>
      <c r="B1089" t="s">
        <v>73</v>
      </c>
      <c r="C1089" t="s">
        <v>74</v>
      </c>
      <c r="E1089" t="str">
        <f>"080069759513"</f>
        <v>080069759513</v>
      </c>
      <c r="F1089" s="3">
        <v>45999</v>
      </c>
      <c r="G1089">
        <v>202609</v>
      </c>
      <c r="H1089" t="s">
        <v>75</v>
      </c>
      <c r="I1089" t="s">
        <v>76</v>
      </c>
      <c r="J1089" t="s">
        <v>77</v>
      </c>
      <c r="K1089" t="s">
        <v>78</v>
      </c>
      <c r="L1089" t="s">
        <v>156</v>
      </c>
      <c r="M1089" t="s">
        <v>157</v>
      </c>
      <c r="N1089" t="s">
        <v>434</v>
      </c>
      <c r="O1089" t="s">
        <v>89</v>
      </c>
      <c r="P1089" t="str">
        <f>"4170072559                    "</f>
        <v xml:space="preserve">4170072559                    </v>
      </c>
      <c r="Q1089">
        <v>0</v>
      </c>
      <c r="R1089">
        <v>0</v>
      </c>
      <c r="S1089">
        <v>0</v>
      </c>
      <c r="T1089">
        <v>0</v>
      </c>
      <c r="U1089">
        <v>0</v>
      </c>
      <c r="V1089">
        <v>0</v>
      </c>
      <c r="W1089">
        <v>0</v>
      </c>
      <c r="X1089">
        <v>0</v>
      </c>
      <c r="Y1089">
        <v>0</v>
      </c>
      <c r="Z1089">
        <v>0</v>
      </c>
      <c r="AA1089">
        <v>0</v>
      </c>
      <c r="AB1089">
        <v>0</v>
      </c>
      <c r="AC1089">
        <v>0</v>
      </c>
      <c r="AD1089">
        <v>0</v>
      </c>
      <c r="AE1089">
        <v>0</v>
      </c>
      <c r="AF1089">
        <v>0</v>
      </c>
      <c r="AG1089">
        <v>0</v>
      </c>
      <c r="AH1089">
        <v>0</v>
      </c>
      <c r="AI1089">
        <v>0</v>
      </c>
      <c r="AJ1089">
        <v>0</v>
      </c>
      <c r="AK1089">
        <v>0</v>
      </c>
      <c r="AL1089">
        <v>0</v>
      </c>
      <c r="AM1089">
        <v>0</v>
      </c>
      <c r="AN1089">
        <v>0</v>
      </c>
      <c r="AO1089">
        <v>0</v>
      </c>
      <c r="AP1089">
        <v>0</v>
      </c>
      <c r="AQ1089">
        <v>25.52</v>
      </c>
      <c r="AR1089">
        <v>0</v>
      </c>
      <c r="AS1089">
        <v>0</v>
      </c>
      <c r="AT1089">
        <v>0</v>
      </c>
      <c r="AU1089">
        <v>0</v>
      </c>
      <c r="AV1089">
        <v>0</v>
      </c>
      <c r="AW1089">
        <v>0</v>
      </c>
      <c r="AX1089">
        <v>0</v>
      </c>
      <c r="AY1089">
        <v>0</v>
      </c>
      <c r="AZ1089">
        <v>0</v>
      </c>
      <c r="BA1089">
        <v>0</v>
      </c>
      <c r="BB1089">
        <v>0</v>
      </c>
      <c r="BC1089">
        <v>0</v>
      </c>
      <c r="BD1089">
        <v>0</v>
      </c>
      <c r="BE1089">
        <v>0</v>
      </c>
      <c r="BF1089">
        <v>0</v>
      </c>
      <c r="BG1089">
        <v>0</v>
      </c>
      <c r="BH1089">
        <v>1</v>
      </c>
      <c r="BI1089">
        <v>1</v>
      </c>
      <c r="BJ1089">
        <v>0.2</v>
      </c>
      <c r="BK1089">
        <v>1</v>
      </c>
      <c r="BL1089">
        <v>76.06</v>
      </c>
      <c r="BM1089">
        <v>11.41</v>
      </c>
      <c r="BN1089">
        <v>87.47</v>
      </c>
      <c r="BO1089">
        <v>87.47</v>
      </c>
      <c r="BQ1089" t="s">
        <v>435</v>
      </c>
      <c r="BR1089" t="s">
        <v>82</v>
      </c>
      <c r="BS1089" s="3">
        <v>46000</v>
      </c>
      <c r="BT1089" s="4">
        <v>0.39097222222222222</v>
      </c>
      <c r="BU1089" t="s">
        <v>1577</v>
      </c>
      <c r="BV1089" t="s">
        <v>84</v>
      </c>
      <c r="BY1089">
        <v>1200</v>
      </c>
      <c r="CA1089" t="s">
        <v>264</v>
      </c>
      <c r="CC1089" t="s">
        <v>157</v>
      </c>
      <c r="CD1089">
        <v>7441</v>
      </c>
      <c r="CE1089" t="s">
        <v>134</v>
      </c>
      <c r="CF1089" s="3">
        <v>46001</v>
      </c>
      <c r="CI1089">
        <v>1</v>
      </c>
      <c r="CJ1089">
        <v>1</v>
      </c>
      <c r="CK1089">
        <v>21</v>
      </c>
      <c r="CL1089" t="s">
        <v>87</v>
      </c>
    </row>
    <row r="1090" spans="1:90" x14ac:dyDescent="0.3">
      <c r="A1090" t="s">
        <v>72</v>
      </c>
      <c r="B1090" t="s">
        <v>73</v>
      </c>
      <c r="C1090" t="s">
        <v>74</v>
      </c>
      <c r="E1090" t="str">
        <f>"080069759555"</f>
        <v>080069759555</v>
      </c>
      <c r="F1090" s="3">
        <v>45999</v>
      </c>
      <c r="G1090">
        <v>202609</v>
      </c>
      <c r="H1090" t="s">
        <v>75</v>
      </c>
      <c r="I1090" t="s">
        <v>76</v>
      </c>
      <c r="J1090" t="s">
        <v>77</v>
      </c>
      <c r="K1090" t="s">
        <v>78</v>
      </c>
      <c r="L1090" t="s">
        <v>189</v>
      </c>
      <c r="M1090" t="s">
        <v>190</v>
      </c>
      <c r="N1090" t="s">
        <v>191</v>
      </c>
      <c r="O1090" t="s">
        <v>89</v>
      </c>
      <c r="P1090" t="str">
        <f>"4170072427                    "</f>
        <v xml:space="preserve">4170072427                    </v>
      </c>
      <c r="Q1090">
        <v>0</v>
      </c>
      <c r="R1090">
        <v>0</v>
      </c>
      <c r="S1090">
        <v>0</v>
      </c>
      <c r="T1090">
        <v>0</v>
      </c>
      <c r="U1090">
        <v>0</v>
      </c>
      <c r="V1090">
        <v>0</v>
      </c>
      <c r="W1090">
        <v>0</v>
      </c>
      <c r="X1090">
        <v>0</v>
      </c>
      <c r="Y1090">
        <v>0</v>
      </c>
      <c r="Z1090">
        <v>0</v>
      </c>
      <c r="AA1090">
        <v>0</v>
      </c>
      <c r="AB1090">
        <v>0</v>
      </c>
      <c r="AC1090">
        <v>0</v>
      </c>
      <c r="AD1090">
        <v>0</v>
      </c>
      <c r="AE1090">
        <v>0</v>
      </c>
      <c r="AF1090">
        <v>0</v>
      </c>
      <c r="AG1090">
        <v>0</v>
      </c>
      <c r="AH1090">
        <v>0</v>
      </c>
      <c r="AI1090">
        <v>0</v>
      </c>
      <c r="AJ1090">
        <v>0</v>
      </c>
      <c r="AK1090">
        <v>0</v>
      </c>
      <c r="AL1090">
        <v>0</v>
      </c>
      <c r="AM1090">
        <v>0</v>
      </c>
      <c r="AN1090">
        <v>0</v>
      </c>
      <c r="AO1090">
        <v>0</v>
      </c>
      <c r="AP1090">
        <v>0</v>
      </c>
      <c r="AQ1090">
        <v>82.93</v>
      </c>
      <c r="AR1090">
        <v>0</v>
      </c>
      <c r="AS1090">
        <v>0</v>
      </c>
      <c r="AT1090">
        <v>0</v>
      </c>
      <c r="AU1090">
        <v>0</v>
      </c>
      <c r="AV1090">
        <v>0</v>
      </c>
      <c r="AW1090">
        <v>0</v>
      </c>
      <c r="AX1090">
        <v>0</v>
      </c>
      <c r="AY1090">
        <v>0</v>
      </c>
      <c r="AZ1090">
        <v>0</v>
      </c>
      <c r="BA1090">
        <v>0</v>
      </c>
      <c r="BB1090">
        <v>0</v>
      </c>
      <c r="BC1090">
        <v>0</v>
      </c>
      <c r="BD1090">
        <v>0</v>
      </c>
      <c r="BE1090">
        <v>0</v>
      </c>
      <c r="BF1090">
        <v>0</v>
      </c>
      <c r="BG1090">
        <v>0</v>
      </c>
      <c r="BH1090">
        <v>1</v>
      </c>
      <c r="BI1090">
        <v>4</v>
      </c>
      <c r="BJ1090">
        <v>6.3</v>
      </c>
      <c r="BK1090">
        <v>6.5</v>
      </c>
      <c r="BL1090">
        <v>247.14</v>
      </c>
      <c r="BM1090">
        <v>37.07</v>
      </c>
      <c r="BN1090">
        <v>284.20999999999998</v>
      </c>
      <c r="BO1090">
        <v>284.20999999999998</v>
      </c>
      <c r="BQ1090" t="s">
        <v>192</v>
      </c>
      <c r="BR1090" t="s">
        <v>82</v>
      </c>
      <c r="BS1090" s="3">
        <v>46000</v>
      </c>
      <c r="BT1090" s="4">
        <v>0.68958333333333333</v>
      </c>
      <c r="BU1090" t="s">
        <v>1840</v>
      </c>
      <c r="BV1090" t="s">
        <v>87</v>
      </c>
      <c r="BY1090">
        <v>31320</v>
      </c>
      <c r="CC1090" t="s">
        <v>190</v>
      </c>
      <c r="CD1090">
        <v>3201</v>
      </c>
      <c r="CE1090" t="s">
        <v>93</v>
      </c>
      <c r="CF1090" s="3">
        <v>46000</v>
      </c>
      <c r="CI1090">
        <v>1</v>
      </c>
      <c r="CJ1090">
        <v>1</v>
      </c>
      <c r="CK1090">
        <v>21</v>
      </c>
      <c r="CL1090" t="s">
        <v>87</v>
      </c>
    </row>
    <row r="1091" spans="1:90" x14ac:dyDescent="0.3">
      <c r="A1091" t="s">
        <v>72</v>
      </c>
      <c r="B1091" t="s">
        <v>73</v>
      </c>
      <c r="C1091" t="s">
        <v>74</v>
      </c>
      <c r="E1091" t="str">
        <f>"080069759598"</f>
        <v>080069759598</v>
      </c>
      <c r="F1091" s="3">
        <v>45999</v>
      </c>
      <c r="G1091">
        <v>202609</v>
      </c>
      <c r="H1091" t="s">
        <v>75</v>
      </c>
      <c r="I1091" t="s">
        <v>76</v>
      </c>
      <c r="J1091" t="s">
        <v>77</v>
      </c>
      <c r="K1091" t="s">
        <v>78</v>
      </c>
      <c r="L1091" t="s">
        <v>156</v>
      </c>
      <c r="M1091" t="s">
        <v>157</v>
      </c>
      <c r="N1091" t="s">
        <v>158</v>
      </c>
      <c r="O1091" t="s">
        <v>89</v>
      </c>
      <c r="P1091" t="str">
        <f>"4170072322                    "</f>
        <v xml:space="preserve">4170072322                    </v>
      </c>
      <c r="Q1091">
        <v>0</v>
      </c>
      <c r="R1091">
        <v>0</v>
      </c>
      <c r="S1091">
        <v>0</v>
      </c>
      <c r="T1091">
        <v>0</v>
      </c>
      <c r="U1091">
        <v>0</v>
      </c>
      <c r="V1091">
        <v>0</v>
      </c>
      <c r="W1091">
        <v>0</v>
      </c>
      <c r="X1091">
        <v>0</v>
      </c>
      <c r="Y1091">
        <v>0</v>
      </c>
      <c r="Z1091">
        <v>0</v>
      </c>
      <c r="AA1091">
        <v>0</v>
      </c>
      <c r="AB1091">
        <v>0</v>
      </c>
      <c r="AC1091">
        <v>0</v>
      </c>
      <c r="AD1091">
        <v>0</v>
      </c>
      <c r="AE1091">
        <v>0</v>
      </c>
      <c r="AF1091">
        <v>0</v>
      </c>
      <c r="AG1091">
        <v>0</v>
      </c>
      <c r="AH1091">
        <v>0</v>
      </c>
      <c r="AI1091">
        <v>0</v>
      </c>
      <c r="AJ1091">
        <v>0</v>
      </c>
      <c r="AK1091">
        <v>0</v>
      </c>
      <c r="AL1091">
        <v>0</v>
      </c>
      <c r="AM1091">
        <v>0</v>
      </c>
      <c r="AN1091">
        <v>0</v>
      </c>
      <c r="AO1091">
        <v>0</v>
      </c>
      <c r="AP1091">
        <v>0</v>
      </c>
      <c r="AQ1091">
        <v>25.52</v>
      </c>
      <c r="AR1091">
        <v>0</v>
      </c>
      <c r="AS1091">
        <v>0</v>
      </c>
      <c r="AT1091">
        <v>0</v>
      </c>
      <c r="AU1091">
        <v>0</v>
      </c>
      <c r="AV1091">
        <v>0</v>
      </c>
      <c r="AW1091">
        <v>0</v>
      </c>
      <c r="AX1091">
        <v>0</v>
      </c>
      <c r="AY1091">
        <v>0</v>
      </c>
      <c r="AZ1091">
        <v>0</v>
      </c>
      <c r="BA1091">
        <v>0</v>
      </c>
      <c r="BB1091">
        <v>0</v>
      </c>
      <c r="BC1091">
        <v>0</v>
      </c>
      <c r="BD1091">
        <v>0</v>
      </c>
      <c r="BE1091">
        <v>0</v>
      </c>
      <c r="BF1091">
        <v>0</v>
      </c>
      <c r="BG1091">
        <v>0</v>
      </c>
      <c r="BH1091">
        <v>1</v>
      </c>
      <c r="BI1091">
        <v>2</v>
      </c>
      <c r="BJ1091">
        <v>1.8</v>
      </c>
      <c r="BK1091">
        <v>2</v>
      </c>
      <c r="BL1091">
        <v>76.06</v>
      </c>
      <c r="BM1091">
        <v>11.41</v>
      </c>
      <c r="BN1091">
        <v>87.47</v>
      </c>
      <c r="BO1091">
        <v>87.47</v>
      </c>
      <c r="BQ1091" t="s">
        <v>159</v>
      </c>
      <c r="BR1091" t="s">
        <v>82</v>
      </c>
      <c r="BS1091" s="3">
        <v>46000</v>
      </c>
      <c r="BT1091" s="4">
        <v>0.41944444444444445</v>
      </c>
      <c r="BU1091" t="s">
        <v>1697</v>
      </c>
      <c r="BV1091" t="s">
        <v>84</v>
      </c>
      <c r="BY1091">
        <v>8816</v>
      </c>
      <c r="CA1091" t="s">
        <v>1217</v>
      </c>
      <c r="CC1091" t="s">
        <v>157</v>
      </c>
      <c r="CD1091">
        <v>7530</v>
      </c>
      <c r="CE1091" t="s">
        <v>86</v>
      </c>
      <c r="CF1091" s="3">
        <v>46001</v>
      </c>
      <c r="CI1091">
        <v>1</v>
      </c>
      <c r="CJ1091">
        <v>1</v>
      </c>
      <c r="CK1091">
        <v>21</v>
      </c>
      <c r="CL1091" t="s">
        <v>87</v>
      </c>
    </row>
    <row r="1092" spans="1:90" x14ac:dyDescent="0.3">
      <c r="A1092" t="s">
        <v>72</v>
      </c>
      <c r="B1092" t="s">
        <v>73</v>
      </c>
      <c r="C1092" t="s">
        <v>74</v>
      </c>
      <c r="E1092" t="str">
        <f>"080069759599"</f>
        <v>080069759599</v>
      </c>
      <c r="F1092" s="3">
        <v>45999</v>
      </c>
      <c r="G1092">
        <v>202609</v>
      </c>
      <c r="H1092" t="s">
        <v>75</v>
      </c>
      <c r="I1092" t="s">
        <v>76</v>
      </c>
      <c r="J1092" t="s">
        <v>77</v>
      </c>
      <c r="K1092" t="s">
        <v>78</v>
      </c>
      <c r="L1092" t="s">
        <v>120</v>
      </c>
      <c r="M1092" t="s">
        <v>121</v>
      </c>
      <c r="N1092" t="s">
        <v>1736</v>
      </c>
      <c r="O1092" t="s">
        <v>89</v>
      </c>
      <c r="P1092" t="str">
        <f>"4170072425                    "</f>
        <v xml:space="preserve">4170072425                    </v>
      </c>
      <c r="Q1092">
        <v>0</v>
      </c>
      <c r="R1092">
        <v>0</v>
      </c>
      <c r="S1092">
        <v>0</v>
      </c>
      <c r="T1092">
        <v>0</v>
      </c>
      <c r="U1092">
        <v>0</v>
      </c>
      <c r="V1092">
        <v>0</v>
      </c>
      <c r="W1092">
        <v>0</v>
      </c>
      <c r="X1092">
        <v>0</v>
      </c>
      <c r="Y1092">
        <v>0</v>
      </c>
      <c r="Z1092">
        <v>0</v>
      </c>
      <c r="AA1092">
        <v>0</v>
      </c>
      <c r="AB1092">
        <v>0</v>
      </c>
      <c r="AC1092">
        <v>0</v>
      </c>
      <c r="AD1092">
        <v>0</v>
      </c>
      <c r="AE1092">
        <v>0</v>
      </c>
      <c r="AF1092">
        <v>0</v>
      </c>
      <c r="AG1092">
        <v>0</v>
      </c>
      <c r="AH1092">
        <v>0</v>
      </c>
      <c r="AI1092">
        <v>0</v>
      </c>
      <c r="AJ1092">
        <v>0</v>
      </c>
      <c r="AK1092">
        <v>0</v>
      </c>
      <c r="AL1092">
        <v>0</v>
      </c>
      <c r="AM1092">
        <v>0</v>
      </c>
      <c r="AN1092">
        <v>0</v>
      </c>
      <c r="AO1092">
        <v>0</v>
      </c>
      <c r="AP1092">
        <v>0</v>
      </c>
      <c r="AQ1092">
        <v>25.52</v>
      </c>
      <c r="AR1092">
        <v>0</v>
      </c>
      <c r="AS1092">
        <v>0</v>
      </c>
      <c r="AT1092">
        <v>0</v>
      </c>
      <c r="AU1092">
        <v>0</v>
      </c>
      <c r="AV1092">
        <v>0</v>
      </c>
      <c r="AW1092">
        <v>0</v>
      </c>
      <c r="AX1092">
        <v>0</v>
      </c>
      <c r="AY1092">
        <v>0</v>
      </c>
      <c r="AZ1092">
        <v>0</v>
      </c>
      <c r="BA1092">
        <v>0</v>
      </c>
      <c r="BB1092">
        <v>0</v>
      </c>
      <c r="BC1092">
        <v>0</v>
      </c>
      <c r="BD1092">
        <v>0</v>
      </c>
      <c r="BE1092">
        <v>0</v>
      </c>
      <c r="BF1092">
        <v>0</v>
      </c>
      <c r="BG1092">
        <v>0</v>
      </c>
      <c r="BH1092">
        <v>1</v>
      </c>
      <c r="BI1092">
        <v>1</v>
      </c>
      <c r="BJ1092">
        <v>0.2</v>
      </c>
      <c r="BK1092">
        <v>1</v>
      </c>
      <c r="BL1092">
        <v>76.06</v>
      </c>
      <c r="BM1092">
        <v>11.41</v>
      </c>
      <c r="BN1092">
        <v>87.47</v>
      </c>
      <c r="BO1092">
        <v>87.47</v>
      </c>
      <c r="BQ1092" t="s">
        <v>1737</v>
      </c>
      <c r="BR1092" t="s">
        <v>82</v>
      </c>
      <c r="BS1092" s="3">
        <v>46000</v>
      </c>
      <c r="BT1092" s="4">
        <v>0.34375</v>
      </c>
      <c r="BU1092" t="s">
        <v>1738</v>
      </c>
      <c r="BV1092" t="s">
        <v>84</v>
      </c>
      <c r="BY1092">
        <v>1200</v>
      </c>
      <c r="CA1092" t="s">
        <v>126</v>
      </c>
      <c r="CC1092" t="s">
        <v>121</v>
      </c>
      <c r="CD1092">
        <v>6229</v>
      </c>
      <c r="CE1092" t="s">
        <v>134</v>
      </c>
      <c r="CF1092" s="3">
        <v>46000</v>
      </c>
      <c r="CI1092">
        <v>1</v>
      </c>
      <c r="CJ1092">
        <v>1</v>
      </c>
      <c r="CK1092">
        <v>21</v>
      </c>
      <c r="CL1092" t="s">
        <v>87</v>
      </c>
    </row>
    <row r="1093" spans="1:90" x14ac:dyDescent="0.3">
      <c r="A1093" t="s">
        <v>72</v>
      </c>
      <c r="B1093" t="s">
        <v>73</v>
      </c>
      <c r="C1093" t="s">
        <v>74</v>
      </c>
      <c r="E1093" t="str">
        <f>"080069759629"</f>
        <v>080069759629</v>
      </c>
      <c r="F1093" s="3">
        <v>45999</v>
      </c>
      <c r="G1093">
        <v>202609</v>
      </c>
      <c r="H1093" t="s">
        <v>75</v>
      </c>
      <c r="I1093" t="s">
        <v>76</v>
      </c>
      <c r="J1093" t="s">
        <v>77</v>
      </c>
      <c r="K1093" t="s">
        <v>78</v>
      </c>
      <c r="L1093" t="s">
        <v>100</v>
      </c>
      <c r="M1093" t="s">
        <v>101</v>
      </c>
      <c r="N1093" t="s">
        <v>102</v>
      </c>
      <c r="O1093" t="s">
        <v>89</v>
      </c>
      <c r="P1093" t="str">
        <f>"4170072490                    "</f>
        <v xml:space="preserve">4170072490                    </v>
      </c>
      <c r="Q1093">
        <v>0</v>
      </c>
      <c r="R1093">
        <v>0</v>
      </c>
      <c r="S1093">
        <v>0</v>
      </c>
      <c r="T1093">
        <v>0</v>
      </c>
      <c r="U1093">
        <v>0</v>
      </c>
      <c r="V1093">
        <v>0</v>
      </c>
      <c r="W1093">
        <v>0</v>
      </c>
      <c r="X1093">
        <v>0</v>
      </c>
      <c r="Y1093">
        <v>0</v>
      </c>
      <c r="Z1093">
        <v>0</v>
      </c>
      <c r="AA1093">
        <v>0</v>
      </c>
      <c r="AB1093">
        <v>0</v>
      </c>
      <c r="AC1093">
        <v>0</v>
      </c>
      <c r="AD1093">
        <v>0</v>
      </c>
      <c r="AE1093">
        <v>0</v>
      </c>
      <c r="AF1093">
        <v>0</v>
      </c>
      <c r="AG1093">
        <v>0</v>
      </c>
      <c r="AH1093">
        <v>0</v>
      </c>
      <c r="AI1093">
        <v>0</v>
      </c>
      <c r="AJ1093">
        <v>0</v>
      </c>
      <c r="AK1093">
        <v>0</v>
      </c>
      <c r="AL1093">
        <v>0</v>
      </c>
      <c r="AM1093">
        <v>0</v>
      </c>
      <c r="AN1093">
        <v>0</v>
      </c>
      <c r="AO1093">
        <v>0</v>
      </c>
      <c r="AP1093">
        <v>0</v>
      </c>
      <c r="AQ1093">
        <v>89.3</v>
      </c>
      <c r="AR1093">
        <v>0</v>
      </c>
      <c r="AS1093">
        <v>0</v>
      </c>
      <c r="AT1093">
        <v>0</v>
      </c>
      <c r="AU1093">
        <v>0</v>
      </c>
      <c r="AV1093">
        <v>0</v>
      </c>
      <c r="AW1093">
        <v>0</v>
      </c>
      <c r="AX1093">
        <v>0</v>
      </c>
      <c r="AY1093">
        <v>0</v>
      </c>
      <c r="AZ1093">
        <v>0</v>
      </c>
      <c r="BA1093">
        <v>0</v>
      </c>
      <c r="BB1093">
        <v>0</v>
      </c>
      <c r="BC1093">
        <v>0</v>
      </c>
      <c r="BD1093">
        <v>0</v>
      </c>
      <c r="BE1093">
        <v>0</v>
      </c>
      <c r="BF1093">
        <v>0</v>
      </c>
      <c r="BG1093">
        <v>0</v>
      </c>
      <c r="BH1093">
        <v>1</v>
      </c>
      <c r="BI1093">
        <v>7</v>
      </c>
      <c r="BJ1093">
        <v>6.9</v>
      </c>
      <c r="BK1093">
        <v>7</v>
      </c>
      <c r="BL1093">
        <v>266.14</v>
      </c>
      <c r="BM1093">
        <v>39.92</v>
      </c>
      <c r="BN1093">
        <v>306.06</v>
      </c>
      <c r="BO1093">
        <v>306.06</v>
      </c>
      <c r="BQ1093" t="s">
        <v>103</v>
      </c>
      <c r="BR1093" t="s">
        <v>82</v>
      </c>
      <c r="BS1093" s="3">
        <v>46000</v>
      </c>
      <c r="BT1093" s="4">
        <v>0.35833333333333334</v>
      </c>
      <c r="BU1093" t="s">
        <v>104</v>
      </c>
      <c r="BV1093" t="s">
        <v>84</v>
      </c>
      <c r="BY1093">
        <v>34300</v>
      </c>
      <c r="CA1093" t="s">
        <v>107</v>
      </c>
      <c r="CC1093" t="s">
        <v>101</v>
      </c>
      <c r="CD1093">
        <v>4051</v>
      </c>
      <c r="CE1093" t="s">
        <v>93</v>
      </c>
      <c r="CF1093" s="3">
        <v>46001</v>
      </c>
      <c r="CI1093">
        <v>1</v>
      </c>
      <c r="CJ1093">
        <v>1</v>
      </c>
      <c r="CK1093">
        <v>21</v>
      </c>
      <c r="CL1093" t="s">
        <v>87</v>
      </c>
    </row>
    <row r="1094" spans="1:90" x14ac:dyDescent="0.3">
      <c r="A1094" t="s">
        <v>72</v>
      </c>
      <c r="B1094" t="s">
        <v>73</v>
      </c>
      <c r="C1094" t="s">
        <v>74</v>
      </c>
      <c r="E1094" t="str">
        <f>"080069759628"</f>
        <v>080069759628</v>
      </c>
      <c r="F1094" s="3">
        <v>45999</v>
      </c>
      <c r="G1094">
        <v>202609</v>
      </c>
      <c r="H1094" t="s">
        <v>75</v>
      </c>
      <c r="I1094" t="s">
        <v>76</v>
      </c>
      <c r="J1094" t="s">
        <v>77</v>
      </c>
      <c r="K1094" t="s">
        <v>78</v>
      </c>
      <c r="L1094" t="s">
        <v>156</v>
      </c>
      <c r="M1094" t="s">
        <v>157</v>
      </c>
      <c r="N1094" t="s">
        <v>261</v>
      </c>
      <c r="O1094" t="s">
        <v>89</v>
      </c>
      <c r="P1094" t="str">
        <f>"4170072555                    "</f>
        <v xml:space="preserve">4170072555                    </v>
      </c>
      <c r="Q1094">
        <v>0</v>
      </c>
      <c r="R1094">
        <v>0</v>
      </c>
      <c r="S1094">
        <v>0</v>
      </c>
      <c r="T1094">
        <v>0</v>
      </c>
      <c r="U1094">
        <v>0</v>
      </c>
      <c r="V1094">
        <v>0</v>
      </c>
      <c r="W1094">
        <v>0</v>
      </c>
      <c r="X1094">
        <v>0</v>
      </c>
      <c r="Y1094">
        <v>0</v>
      </c>
      <c r="Z1094">
        <v>0</v>
      </c>
      <c r="AA1094">
        <v>0</v>
      </c>
      <c r="AB1094">
        <v>0</v>
      </c>
      <c r="AC1094">
        <v>0</v>
      </c>
      <c r="AD1094">
        <v>0</v>
      </c>
      <c r="AE1094">
        <v>0</v>
      </c>
      <c r="AF1094">
        <v>0</v>
      </c>
      <c r="AG1094">
        <v>0</v>
      </c>
      <c r="AH1094">
        <v>0</v>
      </c>
      <c r="AI1094">
        <v>0</v>
      </c>
      <c r="AJ1094">
        <v>0</v>
      </c>
      <c r="AK1094">
        <v>0</v>
      </c>
      <c r="AL1094">
        <v>0</v>
      </c>
      <c r="AM1094">
        <v>0</v>
      </c>
      <c r="AN1094">
        <v>0</v>
      </c>
      <c r="AO1094">
        <v>0</v>
      </c>
      <c r="AP1094">
        <v>0</v>
      </c>
      <c r="AQ1094">
        <v>25.52</v>
      </c>
      <c r="AR1094">
        <v>0</v>
      </c>
      <c r="AS1094">
        <v>0</v>
      </c>
      <c r="AT1094">
        <v>0</v>
      </c>
      <c r="AU1094">
        <v>0</v>
      </c>
      <c r="AV1094">
        <v>0</v>
      </c>
      <c r="AW1094">
        <v>0</v>
      </c>
      <c r="AX1094">
        <v>0</v>
      </c>
      <c r="AY1094">
        <v>0</v>
      </c>
      <c r="AZ1094">
        <v>0</v>
      </c>
      <c r="BA1094">
        <v>0</v>
      </c>
      <c r="BB1094">
        <v>0</v>
      </c>
      <c r="BC1094">
        <v>0</v>
      </c>
      <c r="BD1094">
        <v>0</v>
      </c>
      <c r="BE1094">
        <v>0</v>
      </c>
      <c r="BF1094">
        <v>0</v>
      </c>
      <c r="BG1094">
        <v>0</v>
      </c>
      <c r="BH1094">
        <v>1</v>
      </c>
      <c r="BI1094">
        <v>1</v>
      </c>
      <c r="BJ1094">
        <v>0.2</v>
      </c>
      <c r="BK1094">
        <v>1</v>
      </c>
      <c r="BL1094">
        <v>76.06</v>
      </c>
      <c r="BM1094">
        <v>11.41</v>
      </c>
      <c r="BN1094">
        <v>87.47</v>
      </c>
      <c r="BO1094">
        <v>87.47</v>
      </c>
      <c r="BQ1094" t="s">
        <v>262</v>
      </c>
      <c r="BR1094" t="s">
        <v>82</v>
      </c>
      <c r="BS1094" s="3">
        <v>46000</v>
      </c>
      <c r="BT1094" s="4">
        <v>0.40069444444444446</v>
      </c>
      <c r="BU1094" t="s">
        <v>1130</v>
      </c>
      <c r="BV1094" t="s">
        <v>84</v>
      </c>
      <c r="BY1094">
        <v>1200</v>
      </c>
      <c r="CA1094" t="s">
        <v>264</v>
      </c>
      <c r="CC1094" t="s">
        <v>157</v>
      </c>
      <c r="CD1094">
        <v>7441</v>
      </c>
      <c r="CE1094" t="s">
        <v>134</v>
      </c>
      <c r="CF1094" s="3">
        <v>46001</v>
      </c>
      <c r="CI1094">
        <v>1</v>
      </c>
      <c r="CJ1094">
        <v>1</v>
      </c>
      <c r="CK1094">
        <v>21</v>
      </c>
      <c r="CL1094" t="s">
        <v>87</v>
      </c>
    </row>
    <row r="1095" spans="1:90" x14ac:dyDescent="0.3">
      <c r="A1095" t="s">
        <v>72</v>
      </c>
      <c r="B1095" t="s">
        <v>73</v>
      </c>
      <c r="C1095" t="s">
        <v>74</v>
      </c>
      <c r="E1095" t="str">
        <f>"080069759673"</f>
        <v>080069759673</v>
      </c>
      <c r="F1095" s="3">
        <v>45999</v>
      </c>
      <c r="G1095">
        <v>202609</v>
      </c>
      <c r="H1095" t="s">
        <v>75</v>
      </c>
      <c r="I1095" t="s">
        <v>76</v>
      </c>
      <c r="J1095" t="s">
        <v>77</v>
      </c>
      <c r="K1095" t="s">
        <v>78</v>
      </c>
      <c r="L1095" t="s">
        <v>302</v>
      </c>
      <c r="M1095" t="s">
        <v>303</v>
      </c>
      <c r="N1095" t="s">
        <v>1615</v>
      </c>
      <c r="O1095" t="s">
        <v>80</v>
      </c>
      <c r="P1095" t="str">
        <f>"4170072367                    "</f>
        <v xml:space="preserve">4170072367                    </v>
      </c>
      <c r="Q1095">
        <v>0</v>
      </c>
      <c r="R1095">
        <v>0</v>
      </c>
      <c r="S1095">
        <v>0</v>
      </c>
      <c r="T1095">
        <v>0</v>
      </c>
      <c r="U1095">
        <v>0</v>
      </c>
      <c r="V1095">
        <v>0</v>
      </c>
      <c r="W1095">
        <v>0</v>
      </c>
      <c r="X1095">
        <v>0</v>
      </c>
      <c r="Y1095">
        <v>0</v>
      </c>
      <c r="Z1095">
        <v>0</v>
      </c>
      <c r="AA1095">
        <v>0</v>
      </c>
      <c r="AB1095">
        <v>0</v>
      </c>
      <c r="AC1095">
        <v>0</v>
      </c>
      <c r="AD1095">
        <v>0</v>
      </c>
      <c r="AE1095">
        <v>0</v>
      </c>
      <c r="AF1095">
        <v>0</v>
      </c>
      <c r="AG1095">
        <v>0</v>
      </c>
      <c r="AH1095">
        <v>0</v>
      </c>
      <c r="AI1095">
        <v>0</v>
      </c>
      <c r="AJ1095">
        <v>0</v>
      </c>
      <c r="AK1095">
        <v>0</v>
      </c>
      <c r="AL1095">
        <v>0</v>
      </c>
      <c r="AM1095">
        <v>0</v>
      </c>
      <c r="AN1095">
        <v>0</v>
      </c>
      <c r="AO1095">
        <v>0</v>
      </c>
      <c r="AP1095">
        <v>0</v>
      </c>
      <c r="AQ1095">
        <v>49.36</v>
      </c>
      <c r="AR1095">
        <v>0</v>
      </c>
      <c r="AS1095">
        <v>0</v>
      </c>
      <c r="AT1095">
        <v>0</v>
      </c>
      <c r="AU1095">
        <v>0</v>
      </c>
      <c r="AV1095">
        <v>0</v>
      </c>
      <c r="AW1095">
        <v>0</v>
      </c>
      <c r="AX1095">
        <v>0</v>
      </c>
      <c r="AY1095">
        <v>0</v>
      </c>
      <c r="AZ1095">
        <v>0</v>
      </c>
      <c r="BA1095">
        <v>0</v>
      </c>
      <c r="BB1095">
        <v>0</v>
      </c>
      <c r="BC1095">
        <v>0</v>
      </c>
      <c r="BD1095">
        <v>0</v>
      </c>
      <c r="BE1095">
        <v>0</v>
      </c>
      <c r="BF1095">
        <v>0</v>
      </c>
      <c r="BG1095">
        <v>0</v>
      </c>
      <c r="BH1095">
        <v>1</v>
      </c>
      <c r="BI1095">
        <v>2</v>
      </c>
      <c r="BJ1095">
        <v>2.9</v>
      </c>
      <c r="BK1095">
        <v>3</v>
      </c>
      <c r="BL1095">
        <v>153.19999999999999</v>
      </c>
      <c r="BM1095">
        <v>22.98</v>
      </c>
      <c r="BN1095">
        <v>176.18</v>
      </c>
      <c r="BO1095">
        <v>176.18</v>
      </c>
      <c r="BQ1095" t="s">
        <v>1616</v>
      </c>
      <c r="BR1095" t="s">
        <v>82</v>
      </c>
      <c r="BS1095" s="3">
        <v>46000</v>
      </c>
      <c r="BT1095" s="4">
        <v>0.42430555555555555</v>
      </c>
      <c r="BU1095" t="s">
        <v>1841</v>
      </c>
      <c r="BV1095" t="s">
        <v>84</v>
      </c>
      <c r="BY1095">
        <v>14688</v>
      </c>
      <c r="CA1095">
        <v>8507115621084</v>
      </c>
      <c r="CC1095" t="s">
        <v>303</v>
      </c>
      <c r="CD1095" s="5" t="s">
        <v>433</v>
      </c>
      <c r="CE1095" t="s">
        <v>93</v>
      </c>
      <c r="CF1095" s="3">
        <v>46000</v>
      </c>
      <c r="CI1095">
        <v>1</v>
      </c>
      <c r="CJ1095">
        <v>1</v>
      </c>
      <c r="CK1095">
        <v>41</v>
      </c>
      <c r="CL1095" t="s">
        <v>87</v>
      </c>
    </row>
    <row r="1096" spans="1:90" x14ac:dyDescent="0.3">
      <c r="A1096" t="s">
        <v>72</v>
      </c>
      <c r="B1096" t="s">
        <v>73</v>
      </c>
      <c r="C1096" t="s">
        <v>74</v>
      </c>
      <c r="E1096" t="str">
        <f>"080069759683"</f>
        <v>080069759683</v>
      </c>
      <c r="F1096" s="3">
        <v>45999</v>
      </c>
      <c r="G1096">
        <v>202609</v>
      </c>
      <c r="H1096" t="s">
        <v>75</v>
      </c>
      <c r="I1096" t="s">
        <v>76</v>
      </c>
      <c r="J1096" t="s">
        <v>77</v>
      </c>
      <c r="K1096" t="s">
        <v>78</v>
      </c>
      <c r="L1096" t="s">
        <v>502</v>
      </c>
      <c r="M1096" t="s">
        <v>503</v>
      </c>
      <c r="N1096" t="s">
        <v>678</v>
      </c>
      <c r="O1096" t="s">
        <v>89</v>
      </c>
      <c r="P1096" t="str">
        <f>"4170072383                    "</f>
        <v xml:space="preserve">4170072383                    </v>
      </c>
      <c r="Q1096">
        <v>0</v>
      </c>
      <c r="R1096">
        <v>0</v>
      </c>
      <c r="S1096">
        <v>0</v>
      </c>
      <c r="T1096">
        <v>0</v>
      </c>
      <c r="U1096">
        <v>0</v>
      </c>
      <c r="V1096">
        <v>0</v>
      </c>
      <c r="W1096">
        <v>0</v>
      </c>
      <c r="X1096">
        <v>0</v>
      </c>
      <c r="Y1096">
        <v>0</v>
      </c>
      <c r="Z1096">
        <v>0</v>
      </c>
      <c r="AA1096">
        <v>0</v>
      </c>
      <c r="AB1096">
        <v>0</v>
      </c>
      <c r="AC1096">
        <v>0</v>
      </c>
      <c r="AD1096">
        <v>0</v>
      </c>
      <c r="AE1096">
        <v>0</v>
      </c>
      <c r="AF1096">
        <v>0</v>
      </c>
      <c r="AG1096">
        <v>0</v>
      </c>
      <c r="AH1096">
        <v>0</v>
      </c>
      <c r="AI1096">
        <v>0</v>
      </c>
      <c r="AJ1096">
        <v>0</v>
      </c>
      <c r="AK1096">
        <v>0</v>
      </c>
      <c r="AL1096">
        <v>0</v>
      </c>
      <c r="AM1096">
        <v>0</v>
      </c>
      <c r="AN1096">
        <v>0</v>
      </c>
      <c r="AO1096">
        <v>0</v>
      </c>
      <c r="AP1096">
        <v>0</v>
      </c>
      <c r="AQ1096">
        <v>19.940000000000001</v>
      </c>
      <c r="AR1096">
        <v>0</v>
      </c>
      <c r="AS1096">
        <v>0</v>
      </c>
      <c r="AT1096">
        <v>0</v>
      </c>
      <c r="AU1096">
        <v>0</v>
      </c>
      <c r="AV1096">
        <v>0</v>
      </c>
      <c r="AW1096">
        <v>0</v>
      </c>
      <c r="AX1096">
        <v>0</v>
      </c>
      <c r="AY1096">
        <v>0</v>
      </c>
      <c r="AZ1096">
        <v>0</v>
      </c>
      <c r="BA1096">
        <v>0</v>
      </c>
      <c r="BB1096">
        <v>0</v>
      </c>
      <c r="BC1096">
        <v>0</v>
      </c>
      <c r="BD1096">
        <v>0</v>
      </c>
      <c r="BE1096">
        <v>0</v>
      </c>
      <c r="BF1096">
        <v>0</v>
      </c>
      <c r="BG1096">
        <v>0</v>
      </c>
      <c r="BH1096">
        <v>1</v>
      </c>
      <c r="BI1096">
        <v>1</v>
      </c>
      <c r="BJ1096">
        <v>0.2</v>
      </c>
      <c r="BK1096">
        <v>1</v>
      </c>
      <c r="BL1096">
        <v>59.42</v>
      </c>
      <c r="BM1096">
        <v>8.91</v>
      </c>
      <c r="BN1096">
        <v>68.33</v>
      </c>
      <c r="BO1096">
        <v>68.33</v>
      </c>
      <c r="BQ1096" t="s">
        <v>1222</v>
      </c>
      <c r="BR1096" t="s">
        <v>82</v>
      </c>
      <c r="BS1096" s="3">
        <v>46000</v>
      </c>
      <c r="BT1096" s="4">
        <v>0.52083333333333337</v>
      </c>
      <c r="BU1096" t="s">
        <v>1329</v>
      </c>
      <c r="BV1096" t="s">
        <v>84</v>
      </c>
      <c r="BY1096">
        <v>1200</v>
      </c>
      <c r="CA1096" t="s">
        <v>507</v>
      </c>
      <c r="CC1096" t="s">
        <v>503</v>
      </c>
      <c r="CD1096">
        <v>1559</v>
      </c>
      <c r="CE1096" t="s">
        <v>134</v>
      </c>
      <c r="CF1096" s="3">
        <v>46000</v>
      </c>
      <c r="CI1096">
        <v>1</v>
      </c>
      <c r="CJ1096">
        <v>1</v>
      </c>
      <c r="CK1096">
        <v>22</v>
      </c>
      <c r="CL1096" t="s">
        <v>87</v>
      </c>
    </row>
    <row r="1097" spans="1:90" x14ac:dyDescent="0.3">
      <c r="A1097" t="s">
        <v>72</v>
      </c>
      <c r="B1097" t="s">
        <v>73</v>
      </c>
      <c r="C1097" t="s">
        <v>74</v>
      </c>
      <c r="E1097" t="str">
        <f>"080069759707"</f>
        <v>080069759707</v>
      </c>
      <c r="F1097" s="3">
        <v>45999</v>
      </c>
      <c r="G1097">
        <v>202609</v>
      </c>
      <c r="H1097" t="s">
        <v>75</v>
      </c>
      <c r="I1097" t="s">
        <v>76</v>
      </c>
      <c r="J1097" t="s">
        <v>77</v>
      </c>
      <c r="K1097" t="s">
        <v>78</v>
      </c>
      <c r="L1097" t="s">
        <v>94</v>
      </c>
      <c r="M1097" t="s">
        <v>95</v>
      </c>
      <c r="N1097" t="s">
        <v>1188</v>
      </c>
      <c r="O1097" t="s">
        <v>89</v>
      </c>
      <c r="P1097" t="str">
        <f>"4170072438                    "</f>
        <v xml:space="preserve">4170072438                    </v>
      </c>
      <c r="Q1097">
        <v>0</v>
      </c>
      <c r="R1097">
        <v>0</v>
      </c>
      <c r="S1097">
        <v>0</v>
      </c>
      <c r="T1097">
        <v>0</v>
      </c>
      <c r="U1097">
        <v>0</v>
      </c>
      <c r="V1097">
        <v>0</v>
      </c>
      <c r="W1097">
        <v>0</v>
      </c>
      <c r="X1097">
        <v>0</v>
      </c>
      <c r="Y1097">
        <v>0</v>
      </c>
      <c r="Z1097">
        <v>0</v>
      </c>
      <c r="AA1097">
        <v>0</v>
      </c>
      <c r="AB1097">
        <v>0</v>
      </c>
      <c r="AC1097">
        <v>0</v>
      </c>
      <c r="AD1097">
        <v>0</v>
      </c>
      <c r="AE1097">
        <v>0</v>
      </c>
      <c r="AF1097">
        <v>0</v>
      </c>
      <c r="AG1097">
        <v>0</v>
      </c>
      <c r="AH1097">
        <v>0</v>
      </c>
      <c r="AI1097">
        <v>0</v>
      </c>
      <c r="AJ1097">
        <v>0</v>
      </c>
      <c r="AK1097">
        <v>0</v>
      </c>
      <c r="AL1097">
        <v>0</v>
      </c>
      <c r="AM1097">
        <v>0</v>
      </c>
      <c r="AN1097">
        <v>0</v>
      </c>
      <c r="AO1097">
        <v>0</v>
      </c>
      <c r="AP1097">
        <v>0</v>
      </c>
      <c r="AQ1097">
        <v>25.52</v>
      </c>
      <c r="AR1097">
        <v>0</v>
      </c>
      <c r="AS1097">
        <v>0</v>
      </c>
      <c r="AT1097">
        <v>0</v>
      </c>
      <c r="AU1097">
        <v>0</v>
      </c>
      <c r="AV1097">
        <v>0</v>
      </c>
      <c r="AW1097">
        <v>0</v>
      </c>
      <c r="AX1097">
        <v>0</v>
      </c>
      <c r="AY1097">
        <v>0</v>
      </c>
      <c r="AZ1097">
        <v>0</v>
      </c>
      <c r="BA1097">
        <v>0</v>
      </c>
      <c r="BB1097">
        <v>0</v>
      </c>
      <c r="BC1097">
        <v>0</v>
      </c>
      <c r="BD1097">
        <v>0</v>
      </c>
      <c r="BE1097">
        <v>0</v>
      </c>
      <c r="BF1097">
        <v>0</v>
      </c>
      <c r="BG1097">
        <v>0</v>
      </c>
      <c r="BH1097">
        <v>1</v>
      </c>
      <c r="BI1097">
        <v>1</v>
      </c>
      <c r="BJ1097">
        <v>0.2</v>
      </c>
      <c r="BK1097">
        <v>1</v>
      </c>
      <c r="BL1097">
        <v>76.06</v>
      </c>
      <c r="BM1097">
        <v>11.41</v>
      </c>
      <c r="BN1097">
        <v>87.47</v>
      </c>
      <c r="BO1097">
        <v>87.47</v>
      </c>
      <c r="BQ1097" t="s">
        <v>1189</v>
      </c>
      <c r="BR1097" t="s">
        <v>82</v>
      </c>
      <c r="BS1097" s="3">
        <v>46000</v>
      </c>
      <c r="BT1097" s="4">
        <v>0.38333333333333336</v>
      </c>
      <c r="BU1097" t="s">
        <v>1698</v>
      </c>
      <c r="BV1097" t="s">
        <v>84</v>
      </c>
      <c r="BY1097">
        <v>1200</v>
      </c>
      <c r="CA1097" t="s">
        <v>929</v>
      </c>
      <c r="CC1097" t="s">
        <v>95</v>
      </c>
      <c r="CD1097">
        <v>3610</v>
      </c>
      <c r="CE1097" t="s">
        <v>134</v>
      </c>
      <c r="CF1097" s="3">
        <v>46000</v>
      </c>
      <c r="CI1097">
        <v>1</v>
      </c>
      <c r="CJ1097">
        <v>1</v>
      </c>
      <c r="CK1097">
        <v>21</v>
      </c>
      <c r="CL1097" t="s">
        <v>87</v>
      </c>
    </row>
    <row r="1098" spans="1:90" x14ac:dyDescent="0.3">
      <c r="A1098" t="s">
        <v>72</v>
      </c>
      <c r="B1098" t="s">
        <v>73</v>
      </c>
      <c r="C1098" t="s">
        <v>74</v>
      </c>
      <c r="E1098" t="str">
        <f>"080069759709"</f>
        <v>080069759709</v>
      </c>
      <c r="F1098" s="3">
        <v>45999</v>
      </c>
      <c r="G1098">
        <v>202609</v>
      </c>
      <c r="H1098" t="s">
        <v>75</v>
      </c>
      <c r="I1098" t="s">
        <v>76</v>
      </c>
      <c r="J1098" t="s">
        <v>77</v>
      </c>
      <c r="K1098" t="s">
        <v>78</v>
      </c>
      <c r="L1098" t="s">
        <v>943</v>
      </c>
      <c r="M1098" t="s">
        <v>944</v>
      </c>
      <c r="N1098" t="s">
        <v>1842</v>
      </c>
      <c r="O1098" t="s">
        <v>80</v>
      </c>
      <c r="P1098" t="str">
        <f>"4170072328                    "</f>
        <v xml:space="preserve">4170072328                    </v>
      </c>
      <c r="Q1098">
        <v>0</v>
      </c>
      <c r="R1098">
        <v>0</v>
      </c>
      <c r="S1098">
        <v>0</v>
      </c>
      <c r="T1098">
        <v>0</v>
      </c>
      <c r="U1098">
        <v>0</v>
      </c>
      <c r="V1098">
        <v>0</v>
      </c>
      <c r="W1098">
        <v>0</v>
      </c>
      <c r="X1098">
        <v>0</v>
      </c>
      <c r="Y1098">
        <v>0</v>
      </c>
      <c r="Z1098">
        <v>0</v>
      </c>
      <c r="AA1098">
        <v>0</v>
      </c>
      <c r="AB1098">
        <v>0</v>
      </c>
      <c r="AC1098">
        <v>0</v>
      </c>
      <c r="AD1098">
        <v>0</v>
      </c>
      <c r="AE1098">
        <v>0</v>
      </c>
      <c r="AF1098">
        <v>0</v>
      </c>
      <c r="AG1098">
        <v>0</v>
      </c>
      <c r="AH1098">
        <v>0</v>
      </c>
      <c r="AI1098">
        <v>0</v>
      </c>
      <c r="AJ1098">
        <v>0</v>
      </c>
      <c r="AK1098">
        <v>0</v>
      </c>
      <c r="AL1098">
        <v>0</v>
      </c>
      <c r="AM1098">
        <v>0</v>
      </c>
      <c r="AN1098">
        <v>0</v>
      </c>
      <c r="AO1098">
        <v>0</v>
      </c>
      <c r="AP1098">
        <v>0</v>
      </c>
      <c r="AQ1098">
        <v>41.42</v>
      </c>
      <c r="AR1098">
        <v>0</v>
      </c>
      <c r="AS1098">
        <v>0</v>
      </c>
      <c r="AT1098">
        <v>0</v>
      </c>
      <c r="AU1098">
        <v>0</v>
      </c>
      <c r="AV1098">
        <v>0</v>
      </c>
      <c r="AW1098">
        <v>0</v>
      </c>
      <c r="AX1098">
        <v>0</v>
      </c>
      <c r="AY1098">
        <v>0</v>
      </c>
      <c r="AZ1098">
        <v>0</v>
      </c>
      <c r="BA1098">
        <v>0</v>
      </c>
      <c r="BB1098">
        <v>0</v>
      </c>
      <c r="BC1098">
        <v>0</v>
      </c>
      <c r="BD1098">
        <v>0</v>
      </c>
      <c r="BE1098">
        <v>0</v>
      </c>
      <c r="BF1098">
        <v>0</v>
      </c>
      <c r="BG1098">
        <v>0</v>
      </c>
      <c r="BH1098">
        <v>1</v>
      </c>
      <c r="BI1098">
        <v>11</v>
      </c>
      <c r="BJ1098">
        <v>17.7</v>
      </c>
      <c r="BK1098">
        <v>18</v>
      </c>
      <c r="BL1098">
        <v>129.54</v>
      </c>
      <c r="BM1098">
        <v>19.43</v>
      </c>
      <c r="BN1098">
        <v>148.97</v>
      </c>
      <c r="BO1098">
        <v>148.97</v>
      </c>
      <c r="BQ1098" t="s">
        <v>1843</v>
      </c>
      <c r="BR1098" t="s">
        <v>82</v>
      </c>
      <c r="BS1098" s="3">
        <v>46000</v>
      </c>
      <c r="BT1098" s="4">
        <v>0.36527777777777776</v>
      </c>
      <c r="BU1098" t="s">
        <v>1844</v>
      </c>
      <c r="BV1098" t="s">
        <v>84</v>
      </c>
      <c r="BY1098">
        <v>88320</v>
      </c>
      <c r="CA1098" t="s">
        <v>1845</v>
      </c>
      <c r="CC1098" t="s">
        <v>944</v>
      </c>
      <c r="CD1098">
        <v>1684</v>
      </c>
      <c r="CE1098" t="s">
        <v>86</v>
      </c>
      <c r="CF1098" s="3">
        <v>46001</v>
      </c>
      <c r="CI1098">
        <v>1</v>
      </c>
      <c r="CJ1098">
        <v>1</v>
      </c>
      <c r="CK1098">
        <v>42</v>
      </c>
      <c r="CL1098" t="s">
        <v>87</v>
      </c>
    </row>
    <row r="1099" spans="1:90" x14ac:dyDescent="0.3">
      <c r="A1099" t="s">
        <v>72</v>
      </c>
      <c r="B1099" t="s">
        <v>73</v>
      </c>
      <c r="C1099" t="s">
        <v>74</v>
      </c>
      <c r="E1099" t="str">
        <f>"080069759739"</f>
        <v>080069759739</v>
      </c>
      <c r="F1099" s="3">
        <v>45999</v>
      </c>
      <c r="G1099">
        <v>202609</v>
      </c>
      <c r="H1099" t="s">
        <v>75</v>
      </c>
      <c r="I1099" t="s">
        <v>76</v>
      </c>
      <c r="J1099" t="s">
        <v>77</v>
      </c>
      <c r="K1099" t="s">
        <v>78</v>
      </c>
      <c r="L1099" t="s">
        <v>272</v>
      </c>
      <c r="M1099" t="s">
        <v>273</v>
      </c>
      <c r="N1099" t="s">
        <v>1527</v>
      </c>
      <c r="O1099" t="s">
        <v>89</v>
      </c>
      <c r="P1099" t="str">
        <f>"4170072329                    "</f>
        <v xml:space="preserve">4170072329                    </v>
      </c>
      <c r="Q1099">
        <v>0</v>
      </c>
      <c r="R1099">
        <v>0</v>
      </c>
      <c r="S1099">
        <v>0</v>
      </c>
      <c r="T1099">
        <v>0</v>
      </c>
      <c r="U1099">
        <v>0</v>
      </c>
      <c r="V1099">
        <v>0</v>
      </c>
      <c r="W1099">
        <v>0</v>
      </c>
      <c r="X1099">
        <v>0</v>
      </c>
      <c r="Y1099">
        <v>0</v>
      </c>
      <c r="Z1099">
        <v>0</v>
      </c>
      <c r="AA1099">
        <v>0</v>
      </c>
      <c r="AB1099">
        <v>0</v>
      </c>
      <c r="AC1099">
        <v>0</v>
      </c>
      <c r="AD1099">
        <v>0</v>
      </c>
      <c r="AE1099">
        <v>0</v>
      </c>
      <c r="AF1099">
        <v>0</v>
      </c>
      <c r="AG1099">
        <v>0</v>
      </c>
      <c r="AH1099">
        <v>0</v>
      </c>
      <c r="AI1099">
        <v>0</v>
      </c>
      <c r="AJ1099">
        <v>0</v>
      </c>
      <c r="AK1099">
        <v>0</v>
      </c>
      <c r="AL1099">
        <v>0</v>
      </c>
      <c r="AM1099">
        <v>0</v>
      </c>
      <c r="AN1099">
        <v>0</v>
      </c>
      <c r="AO1099">
        <v>0</v>
      </c>
      <c r="AP1099">
        <v>0</v>
      </c>
      <c r="AQ1099">
        <v>44.66</v>
      </c>
      <c r="AR1099">
        <v>0</v>
      </c>
      <c r="AS1099">
        <v>0</v>
      </c>
      <c r="AT1099">
        <v>0</v>
      </c>
      <c r="AU1099">
        <v>0</v>
      </c>
      <c r="AV1099">
        <v>0</v>
      </c>
      <c r="AW1099">
        <v>0</v>
      </c>
      <c r="AX1099">
        <v>0</v>
      </c>
      <c r="AY1099">
        <v>0</v>
      </c>
      <c r="AZ1099">
        <v>0</v>
      </c>
      <c r="BA1099">
        <v>0</v>
      </c>
      <c r="BB1099">
        <v>0</v>
      </c>
      <c r="BC1099">
        <v>0</v>
      </c>
      <c r="BD1099">
        <v>0</v>
      </c>
      <c r="BE1099">
        <v>0</v>
      </c>
      <c r="BF1099">
        <v>0</v>
      </c>
      <c r="BG1099">
        <v>0</v>
      </c>
      <c r="BH1099">
        <v>1</v>
      </c>
      <c r="BI1099">
        <v>3</v>
      </c>
      <c r="BJ1099">
        <v>3.2</v>
      </c>
      <c r="BK1099">
        <v>3.5</v>
      </c>
      <c r="BL1099">
        <v>133.09</v>
      </c>
      <c r="BM1099">
        <v>19.96</v>
      </c>
      <c r="BN1099">
        <v>153.05000000000001</v>
      </c>
      <c r="BO1099">
        <v>153.05000000000001</v>
      </c>
      <c r="BQ1099" t="s">
        <v>1528</v>
      </c>
      <c r="BR1099" t="s">
        <v>82</v>
      </c>
      <c r="BS1099" s="3">
        <v>46000</v>
      </c>
      <c r="BT1099" s="4">
        <v>0.40138888888888891</v>
      </c>
      <c r="BU1099" t="s">
        <v>1734</v>
      </c>
      <c r="BV1099" t="s">
        <v>84</v>
      </c>
      <c r="BY1099">
        <v>16184</v>
      </c>
      <c r="CA1099" t="s">
        <v>277</v>
      </c>
      <c r="CC1099" t="s">
        <v>273</v>
      </c>
      <c r="CD1099">
        <v>6220</v>
      </c>
      <c r="CE1099" t="s">
        <v>229</v>
      </c>
      <c r="CF1099" s="3">
        <v>46000</v>
      </c>
      <c r="CI1099">
        <v>1</v>
      </c>
      <c r="CJ1099">
        <v>1</v>
      </c>
      <c r="CK1099">
        <v>21</v>
      </c>
      <c r="CL1099" t="s">
        <v>87</v>
      </c>
    </row>
    <row r="1100" spans="1:90" x14ac:dyDescent="0.3">
      <c r="A1100" t="s">
        <v>72</v>
      </c>
      <c r="B1100" t="s">
        <v>73</v>
      </c>
      <c r="C1100" t="s">
        <v>74</v>
      </c>
      <c r="E1100" t="str">
        <f>"080069759981"</f>
        <v>080069759981</v>
      </c>
      <c r="F1100" s="3">
        <v>45999</v>
      </c>
      <c r="G1100">
        <v>202609</v>
      </c>
      <c r="H1100" t="s">
        <v>75</v>
      </c>
      <c r="I1100" t="s">
        <v>76</v>
      </c>
      <c r="J1100" t="s">
        <v>77</v>
      </c>
      <c r="K1100" t="s">
        <v>78</v>
      </c>
      <c r="L1100" t="s">
        <v>176</v>
      </c>
      <c r="M1100" t="s">
        <v>177</v>
      </c>
      <c r="N1100" t="s">
        <v>410</v>
      </c>
      <c r="O1100" t="s">
        <v>89</v>
      </c>
      <c r="P1100" t="str">
        <f>"4170072321                    "</f>
        <v xml:space="preserve">4170072321                    </v>
      </c>
      <c r="Q1100">
        <v>0</v>
      </c>
      <c r="R1100">
        <v>0</v>
      </c>
      <c r="S1100">
        <v>0</v>
      </c>
      <c r="T1100">
        <v>0</v>
      </c>
      <c r="U1100">
        <v>0</v>
      </c>
      <c r="V1100">
        <v>0</v>
      </c>
      <c r="W1100">
        <v>0</v>
      </c>
      <c r="X1100">
        <v>0</v>
      </c>
      <c r="Y1100">
        <v>0</v>
      </c>
      <c r="Z1100">
        <v>0</v>
      </c>
      <c r="AA1100">
        <v>0</v>
      </c>
      <c r="AB1100">
        <v>0</v>
      </c>
      <c r="AC1100">
        <v>0</v>
      </c>
      <c r="AD1100">
        <v>0</v>
      </c>
      <c r="AE1100">
        <v>0</v>
      </c>
      <c r="AF1100">
        <v>0</v>
      </c>
      <c r="AG1100">
        <v>0</v>
      </c>
      <c r="AH1100">
        <v>0</v>
      </c>
      <c r="AI1100">
        <v>0</v>
      </c>
      <c r="AJ1100">
        <v>0</v>
      </c>
      <c r="AK1100">
        <v>0</v>
      </c>
      <c r="AL1100">
        <v>0</v>
      </c>
      <c r="AM1100">
        <v>0</v>
      </c>
      <c r="AN1100">
        <v>0</v>
      </c>
      <c r="AO1100">
        <v>0</v>
      </c>
      <c r="AP1100">
        <v>0</v>
      </c>
      <c r="AQ1100">
        <v>19.940000000000001</v>
      </c>
      <c r="AR1100">
        <v>0</v>
      </c>
      <c r="AS1100">
        <v>0</v>
      </c>
      <c r="AT1100">
        <v>0</v>
      </c>
      <c r="AU1100">
        <v>0</v>
      </c>
      <c r="AV1100">
        <v>0</v>
      </c>
      <c r="AW1100">
        <v>0</v>
      </c>
      <c r="AX1100">
        <v>0</v>
      </c>
      <c r="AY1100">
        <v>0</v>
      </c>
      <c r="AZ1100">
        <v>0</v>
      </c>
      <c r="BA1100">
        <v>0</v>
      </c>
      <c r="BB1100">
        <v>0</v>
      </c>
      <c r="BC1100">
        <v>0</v>
      </c>
      <c r="BD1100">
        <v>0</v>
      </c>
      <c r="BE1100">
        <v>0</v>
      </c>
      <c r="BF1100">
        <v>0</v>
      </c>
      <c r="BG1100">
        <v>0</v>
      </c>
      <c r="BH1100">
        <v>1</v>
      </c>
      <c r="BI1100">
        <v>3</v>
      </c>
      <c r="BJ1100">
        <v>3.3</v>
      </c>
      <c r="BK1100">
        <v>4</v>
      </c>
      <c r="BL1100">
        <v>59.42</v>
      </c>
      <c r="BM1100">
        <v>8.91</v>
      </c>
      <c r="BN1100">
        <v>68.33</v>
      </c>
      <c r="BO1100">
        <v>68.33</v>
      </c>
      <c r="BQ1100" t="s">
        <v>411</v>
      </c>
      <c r="BR1100" t="s">
        <v>82</v>
      </c>
      <c r="BS1100" s="3">
        <v>46000</v>
      </c>
      <c r="BT1100" s="4">
        <v>0.375</v>
      </c>
      <c r="BU1100" t="s">
        <v>1846</v>
      </c>
      <c r="BV1100" t="s">
        <v>84</v>
      </c>
      <c r="BY1100">
        <v>16650</v>
      </c>
      <c r="CA1100" t="s">
        <v>409</v>
      </c>
      <c r="CC1100" t="s">
        <v>177</v>
      </c>
      <c r="CD1100">
        <v>2013</v>
      </c>
      <c r="CE1100" t="s">
        <v>93</v>
      </c>
      <c r="CF1100" s="3">
        <v>46001</v>
      </c>
      <c r="CI1100">
        <v>1</v>
      </c>
      <c r="CJ1100">
        <v>1</v>
      </c>
      <c r="CK1100">
        <v>22</v>
      </c>
      <c r="CL1100" t="s">
        <v>87</v>
      </c>
    </row>
    <row r="1101" spans="1:90" x14ac:dyDescent="0.3">
      <c r="A1101" t="s">
        <v>72</v>
      </c>
      <c r="B1101" t="s">
        <v>73</v>
      </c>
      <c r="C1101" t="s">
        <v>74</v>
      </c>
      <c r="E1101" t="str">
        <f>"080069760035"</f>
        <v>080069760035</v>
      </c>
      <c r="F1101" s="3">
        <v>45999</v>
      </c>
      <c r="G1101">
        <v>202609</v>
      </c>
      <c r="H1101" t="s">
        <v>75</v>
      </c>
      <c r="I1101" t="s">
        <v>76</v>
      </c>
      <c r="J1101" t="s">
        <v>77</v>
      </c>
      <c r="K1101" t="s">
        <v>78</v>
      </c>
      <c r="L1101" t="s">
        <v>265</v>
      </c>
      <c r="M1101" t="s">
        <v>266</v>
      </c>
      <c r="N1101" t="s">
        <v>1847</v>
      </c>
      <c r="O1101" t="s">
        <v>89</v>
      </c>
      <c r="P1101" t="str">
        <f>"4170072320                    "</f>
        <v xml:space="preserve">4170072320                    </v>
      </c>
      <c r="Q1101">
        <v>0</v>
      </c>
      <c r="R1101">
        <v>0</v>
      </c>
      <c r="S1101">
        <v>0</v>
      </c>
      <c r="T1101">
        <v>0</v>
      </c>
      <c r="U1101">
        <v>0</v>
      </c>
      <c r="V1101">
        <v>0</v>
      </c>
      <c r="W1101">
        <v>0</v>
      </c>
      <c r="X1101">
        <v>0</v>
      </c>
      <c r="Y1101">
        <v>0</v>
      </c>
      <c r="Z1101">
        <v>0</v>
      </c>
      <c r="AA1101">
        <v>0</v>
      </c>
      <c r="AB1101">
        <v>0</v>
      </c>
      <c r="AC1101">
        <v>0</v>
      </c>
      <c r="AD1101">
        <v>0</v>
      </c>
      <c r="AE1101">
        <v>0</v>
      </c>
      <c r="AF1101">
        <v>0</v>
      </c>
      <c r="AG1101">
        <v>0</v>
      </c>
      <c r="AH1101">
        <v>0</v>
      </c>
      <c r="AI1101">
        <v>0</v>
      </c>
      <c r="AJ1101">
        <v>0</v>
      </c>
      <c r="AK1101">
        <v>0</v>
      </c>
      <c r="AL1101">
        <v>0</v>
      </c>
      <c r="AM1101">
        <v>0</v>
      </c>
      <c r="AN1101">
        <v>0</v>
      </c>
      <c r="AO1101">
        <v>0</v>
      </c>
      <c r="AP1101">
        <v>0</v>
      </c>
      <c r="AQ1101">
        <v>19.940000000000001</v>
      </c>
      <c r="AR1101">
        <v>0</v>
      </c>
      <c r="AS1101">
        <v>0</v>
      </c>
      <c r="AT1101">
        <v>0</v>
      </c>
      <c r="AU1101">
        <v>0</v>
      </c>
      <c r="AV1101">
        <v>0</v>
      </c>
      <c r="AW1101">
        <v>0</v>
      </c>
      <c r="AX1101">
        <v>0</v>
      </c>
      <c r="AY1101">
        <v>0</v>
      </c>
      <c r="AZ1101">
        <v>0</v>
      </c>
      <c r="BA1101">
        <v>0</v>
      </c>
      <c r="BB1101">
        <v>0</v>
      </c>
      <c r="BC1101">
        <v>0</v>
      </c>
      <c r="BD1101">
        <v>0</v>
      </c>
      <c r="BE1101">
        <v>0</v>
      </c>
      <c r="BF1101">
        <v>0</v>
      </c>
      <c r="BG1101">
        <v>0</v>
      </c>
      <c r="BH1101">
        <v>1</v>
      </c>
      <c r="BI1101">
        <v>1</v>
      </c>
      <c r="BJ1101">
        <v>0.2</v>
      </c>
      <c r="BK1101">
        <v>1</v>
      </c>
      <c r="BL1101">
        <v>59.42</v>
      </c>
      <c r="BM1101">
        <v>8.91</v>
      </c>
      <c r="BN1101">
        <v>68.33</v>
      </c>
      <c r="BO1101">
        <v>68.33</v>
      </c>
      <c r="BQ1101" t="s">
        <v>1848</v>
      </c>
      <c r="BR1101" t="s">
        <v>82</v>
      </c>
      <c r="BS1101" s="3">
        <v>46000</v>
      </c>
      <c r="BT1101" s="4">
        <v>0.39791666666666664</v>
      </c>
      <c r="BU1101" t="s">
        <v>1849</v>
      </c>
      <c r="BV1101" t="s">
        <v>84</v>
      </c>
      <c r="BY1101">
        <v>1200</v>
      </c>
      <c r="CA1101" t="s">
        <v>417</v>
      </c>
      <c r="CC1101" t="s">
        <v>266</v>
      </c>
      <c r="CD1101">
        <v>1459</v>
      </c>
      <c r="CE1101" t="s">
        <v>134</v>
      </c>
      <c r="CF1101" s="3">
        <v>46001</v>
      </c>
      <c r="CI1101">
        <v>1</v>
      </c>
      <c r="CJ1101">
        <v>1</v>
      </c>
      <c r="CK1101">
        <v>22</v>
      </c>
      <c r="CL1101" t="s">
        <v>87</v>
      </c>
    </row>
    <row r="1102" spans="1:90" x14ac:dyDescent="0.3">
      <c r="A1102" t="s">
        <v>72</v>
      </c>
      <c r="B1102" t="s">
        <v>73</v>
      </c>
      <c r="C1102" t="s">
        <v>74</v>
      </c>
      <c r="E1102" t="str">
        <f>"080069760051"</f>
        <v>080069760051</v>
      </c>
      <c r="F1102" s="3">
        <v>45999</v>
      </c>
      <c r="G1102">
        <v>202609</v>
      </c>
      <c r="H1102" t="s">
        <v>75</v>
      </c>
      <c r="I1102" t="s">
        <v>76</v>
      </c>
      <c r="J1102" t="s">
        <v>77</v>
      </c>
      <c r="K1102" t="s">
        <v>78</v>
      </c>
      <c r="L1102" t="s">
        <v>156</v>
      </c>
      <c r="M1102" t="s">
        <v>157</v>
      </c>
      <c r="N1102" t="s">
        <v>158</v>
      </c>
      <c r="O1102" t="s">
        <v>89</v>
      </c>
      <c r="P1102" t="str">
        <f>"4170072324                    "</f>
        <v xml:space="preserve">4170072324                    </v>
      </c>
      <c r="Q1102">
        <v>0</v>
      </c>
      <c r="R1102">
        <v>0</v>
      </c>
      <c r="S1102">
        <v>0</v>
      </c>
      <c r="T1102">
        <v>0</v>
      </c>
      <c r="U1102">
        <v>0</v>
      </c>
      <c r="V1102">
        <v>0</v>
      </c>
      <c r="W1102">
        <v>0</v>
      </c>
      <c r="X1102">
        <v>0</v>
      </c>
      <c r="Y1102">
        <v>0</v>
      </c>
      <c r="Z1102">
        <v>0</v>
      </c>
      <c r="AA1102">
        <v>0</v>
      </c>
      <c r="AB1102">
        <v>0</v>
      </c>
      <c r="AC1102">
        <v>0</v>
      </c>
      <c r="AD1102">
        <v>0</v>
      </c>
      <c r="AE1102">
        <v>0</v>
      </c>
      <c r="AF1102">
        <v>0</v>
      </c>
      <c r="AG1102">
        <v>0</v>
      </c>
      <c r="AH1102">
        <v>0</v>
      </c>
      <c r="AI1102">
        <v>0</v>
      </c>
      <c r="AJ1102">
        <v>0</v>
      </c>
      <c r="AK1102">
        <v>0</v>
      </c>
      <c r="AL1102">
        <v>0</v>
      </c>
      <c r="AM1102">
        <v>0</v>
      </c>
      <c r="AN1102">
        <v>0</v>
      </c>
      <c r="AO1102">
        <v>0</v>
      </c>
      <c r="AP1102">
        <v>0</v>
      </c>
      <c r="AQ1102">
        <v>51.04</v>
      </c>
      <c r="AR1102">
        <v>0</v>
      </c>
      <c r="AS1102">
        <v>0</v>
      </c>
      <c r="AT1102">
        <v>0</v>
      </c>
      <c r="AU1102">
        <v>0</v>
      </c>
      <c r="AV1102">
        <v>0</v>
      </c>
      <c r="AW1102">
        <v>0</v>
      </c>
      <c r="AX1102">
        <v>0</v>
      </c>
      <c r="AY1102">
        <v>0</v>
      </c>
      <c r="AZ1102">
        <v>0</v>
      </c>
      <c r="BA1102">
        <v>0</v>
      </c>
      <c r="BB1102">
        <v>0</v>
      </c>
      <c r="BC1102">
        <v>0</v>
      </c>
      <c r="BD1102">
        <v>0</v>
      </c>
      <c r="BE1102">
        <v>0</v>
      </c>
      <c r="BF1102">
        <v>0</v>
      </c>
      <c r="BG1102">
        <v>0</v>
      </c>
      <c r="BH1102">
        <v>1</v>
      </c>
      <c r="BI1102">
        <v>4</v>
      </c>
      <c r="BJ1102">
        <v>2.1</v>
      </c>
      <c r="BK1102">
        <v>4</v>
      </c>
      <c r="BL1102">
        <v>152.1</v>
      </c>
      <c r="BM1102">
        <v>22.82</v>
      </c>
      <c r="BN1102">
        <v>174.92</v>
      </c>
      <c r="BO1102">
        <v>174.92</v>
      </c>
      <c r="BQ1102" t="s">
        <v>159</v>
      </c>
      <c r="BR1102" t="s">
        <v>82</v>
      </c>
      <c r="BS1102" s="3">
        <v>46000</v>
      </c>
      <c r="BT1102" s="4">
        <v>0.41944444444444445</v>
      </c>
      <c r="BU1102" t="s">
        <v>1697</v>
      </c>
      <c r="BV1102" t="s">
        <v>84</v>
      </c>
      <c r="BY1102">
        <v>10650</v>
      </c>
      <c r="CA1102" t="s">
        <v>1217</v>
      </c>
      <c r="CC1102" t="s">
        <v>157</v>
      </c>
      <c r="CD1102">
        <v>7535</v>
      </c>
      <c r="CE1102" t="s">
        <v>86</v>
      </c>
      <c r="CF1102" s="3">
        <v>46001</v>
      </c>
      <c r="CI1102">
        <v>1</v>
      </c>
      <c r="CJ1102">
        <v>1</v>
      </c>
      <c r="CK1102">
        <v>21</v>
      </c>
      <c r="CL1102" t="s">
        <v>87</v>
      </c>
    </row>
    <row r="1103" spans="1:90" x14ac:dyDescent="0.3">
      <c r="A1103" t="s">
        <v>72</v>
      </c>
      <c r="B1103" t="s">
        <v>73</v>
      </c>
      <c r="C1103" t="s">
        <v>74</v>
      </c>
      <c r="E1103" t="str">
        <f>"080069760065"</f>
        <v>080069760065</v>
      </c>
      <c r="F1103" s="3">
        <v>45999</v>
      </c>
      <c r="G1103">
        <v>202609</v>
      </c>
      <c r="H1103" t="s">
        <v>75</v>
      </c>
      <c r="I1103" t="s">
        <v>76</v>
      </c>
      <c r="J1103" t="s">
        <v>77</v>
      </c>
      <c r="K1103" t="s">
        <v>78</v>
      </c>
      <c r="L1103" t="s">
        <v>156</v>
      </c>
      <c r="M1103" t="s">
        <v>157</v>
      </c>
      <c r="N1103" t="s">
        <v>559</v>
      </c>
      <c r="O1103" t="s">
        <v>89</v>
      </c>
      <c r="P1103" t="str">
        <f>"4170072540                    "</f>
        <v xml:space="preserve">4170072540                    </v>
      </c>
      <c r="Q1103">
        <v>0</v>
      </c>
      <c r="R1103">
        <v>0</v>
      </c>
      <c r="S1103">
        <v>0</v>
      </c>
      <c r="T1103">
        <v>0</v>
      </c>
      <c r="U1103">
        <v>0</v>
      </c>
      <c r="V1103">
        <v>0</v>
      </c>
      <c r="W1103">
        <v>0</v>
      </c>
      <c r="X1103">
        <v>0</v>
      </c>
      <c r="Y1103">
        <v>0</v>
      </c>
      <c r="Z1103">
        <v>0</v>
      </c>
      <c r="AA1103">
        <v>0</v>
      </c>
      <c r="AB1103">
        <v>0</v>
      </c>
      <c r="AC1103">
        <v>0</v>
      </c>
      <c r="AD1103">
        <v>0</v>
      </c>
      <c r="AE1103">
        <v>0</v>
      </c>
      <c r="AF1103">
        <v>0</v>
      </c>
      <c r="AG1103">
        <v>0</v>
      </c>
      <c r="AH1103">
        <v>0</v>
      </c>
      <c r="AI1103">
        <v>0</v>
      </c>
      <c r="AJ1103">
        <v>0</v>
      </c>
      <c r="AK1103">
        <v>0</v>
      </c>
      <c r="AL1103">
        <v>0</v>
      </c>
      <c r="AM1103">
        <v>0</v>
      </c>
      <c r="AN1103">
        <v>0</v>
      </c>
      <c r="AO1103">
        <v>0</v>
      </c>
      <c r="AP1103">
        <v>0</v>
      </c>
      <c r="AQ1103">
        <v>25.52</v>
      </c>
      <c r="AR1103">
        <v>0</v>
      </c>
      <c r="AS1103">
        <v>0</v>
      </c>
      <c r="AT1103">
        <v>0</v>
      </c>
      <c r="AU1103">
        <v>0</v>
      </c>
      <c r="AV1103">
        <v>0</v>
      </c>
      <c r="AW1103">
        <v>0</v>
      </c>
      <c r="AX1103">
        <v>0</v>
      </c>
      <c r="AY1103">
        <v>0</v>
      </c>
      <c r="AZ1103">
        <v>0</v>
      </c>
      <c r="BA1103">
        <v>0</v>
      </c>
      <c r="BB1103">
        <v>0</v>
      </c>
      <c r="BC1103">
        <v>0</v>
      </c>
      <c r="BD1103">
        <v>0</v>
      </c>
      <c r="BE1103">
        <v>0</v>
      </c>
      <c r="BF1103">
        <v>0</v>
      </c>
      <c r="BG1103">
        <v>0</v>
      </c>
      <c r="BH1103">
        <v>1</v>
      </c>
      <c r="BI1103">
        <v>1</v>
      </c>
      <c r="BJ1103">
        <v>0.2</v>
      </c>
      <c r="BK1103">
        <v>1</v>
      </c>
      <c r="BL1103">
        <v>76.06</v>
      </c>
      <c r="BM1103">
        <v>11.41</v>
      </c>
      <c r="BN1103">
        <v>87.47</v>
      </c>
      <c r="BO1103">
        <v>87.47</v>
      </c>
      <c r="BQ1103" t="s">
        <v>560</v>
      </c>
      <c r="BR1103" t="s">
        <v>82</v>
      </c>
      <c r="BS1103" s="3">
        <v>46000</v>
      </c>
      <c r="BT1103" s="4">
        <v>0.39861111111111114</v>
      </c>
      <c r="BU1103" t="s">
        <v>1850</v>
      </c>
      <c r="BV1103" t="s">
        <v>84</v>
      </c>
      <c r="BY1103">
        <v>1200</v>
      </c>
      <c r="CA1103" t="s">
        <v>473</v>
      </c>
      <c r="CC1103" t="s">
        <v>157</v>
      </c>
      <c r="CD1103">
        <v>7460</v>
      </c>
      <c r="CE1103" t="s">
        <v>134</v>
      </c>
      <c r="CF1103" s="3">
        <v>46001</v>
      </c>
      <c r="CI1103">
        <v>1</v>
      </c>
      <c r="CJ1103">
        <v>1</v>
      </c>
      <c r="CK1103">
        <v>21</v>
      </c>
      <c r="CL1103" t="s">
        <v>87</v>
      </c>
    </row>
    <row r="1104" spans="1:90" x14ac:dyDescent="0.3">
      <c r="A1104" t="s">
        <v>72</v>
      </c>
      <c r="B1104" t="s">
        <v>73</v>
      </c>
      <c r="C1104" t="s">
        <v>74</v>
      </c>
      <c r="E1104" t="str">
        <f>"080069760107"</f>
        <v>080069760107</v>
      </c>
      <c r="F1104" s="3">
        <v>45999</v>
      </c>
      <c r="G1104">
        <v>202609</v>
      </c>
      <c r="H1104" t="s">
        <v>75</v>
      </c>
      <c r="I1104" t="s">
        <v>76</v>
      </c>
      <c r="J1104" t="s">
        <v>77</v>
      </c>
      <c r="K1104" t="s">
        <v>78</v>
      </c>
      <c r="L1104" t="s">
        <v>120</v>
      </c>
      <c r="M1104" t="s">
        <v>121</v>
      </c>
      <c r="N1104" t="s">
        <v>1270</v>
      </c>
      <c r="O1104" t="s">
        <v>89</v>
      </c>
      <c r="P1104" t="str">
        <f>"4170072549                    "</f>
        <v xml:space="preserve">4170072549                    </v>
      </c>
      <c r="Q1104">
        <v>0</v>
      </c>
      <c r="R1104">
        <v>0</v>
      </c>
      <c r="S1104">
        <v>0</v>
      </c>
      <c r="T1104">
        <v>0</v>
      </c>
      <c r="U1104">
        <v>0</v>
      </c>
      <c r="V1104">
        <v>0</v>
      </c>
      <c r="W1104">
        <v>0</v>
      </c>
      <c r="X1104">
        <v>0</v>
      </c>
      <c r="Y1104">
        <v>0</v>
      </c>
      <c r="Z1104">
        <v>0</v>
      </c>
      <c r="AA1104">
        <v>0</v>
      </c>
      <c r="AB1104">
        <v>0</v>
      </c>
      <c r="AC1104">
        <v>0</v>
      </c>
      <c r="AD1104">
        <v>0</v>
      </c>
      <c r="AE1104">
        <v>0</v>
      </c>
      <c r="AF1104">
        <v>0</v>
      </c>
      <c r="AG1104">
        <v>0</v>
      </c>
      <c r="AH1104">
        <v>0</v>
      </c>
      <c r="AI1104">
        <v>0</v>
      </c>
      <c r="AJ1104">
        <v>0</v>
      </c>
      <c r="AK1104">
        <v>0</v>
      </c>
      <c r="AL1104">
        <v>0</v>
      </c>
      <c r="AM1104">
        <v>0</v>
      </c>
      <c r="AN1104">
        <v>0</v>
      </c>
      <c r="AO1104">
        <v>0</v>
      </c>
      <c r="AP1104">
        <v>0</v>
      </c>
      <c r="AQ1104">
        <v>25.52</v>
      </c>
      <c r="AR1104">
        <v>0</v>
      </c>
      <c r="AS1104">
        <v>0</v>
      </c>
      <c r="AT1104">
        <v>0</v>
      </c>
      <c r="AU1104">
        <v>0</v>
      </c>
      <c r="AV1104">
        <v>0</v>
      </c>
      <c r="AW1104">
        <v>0</v>
      </c>
      <c r="AX1104">
        <v>0</v>
      </c>
      <c r="AY1104">
        <v>0</v>
      </c>
      <c r="AZ1104">
        <v>0</v>
      </c>
      <c r="BA1104">
        <v>0</v>
      </c>
      <c r="BB1104">
        <v>0</v>
      </c>
      <c r="BC1104">
        <v>0</v>
      </c>
      <c r="BD1104">
        <v>0</v>
      </c>
      <c r="BE1104">
        <v>0</v>
      </c>
      <c r="BF1104">
        <v>0</v>
      </c>
      <c r="BG1104">
        <v>0</v>
      </c>
      <c r="BH1104">
        <v>1</v>
      </c>
      <c r="BI1104">
        <v>1</v>
      </c>
      <c r="BJ1104">
        <v>0.2</v>
      </c>
      <c r="BK1104">
        <v>1</v>
      </c>
      <c r="BL1104">
        <v>76.06</v>
      </c>
      <c r="BM1104">
        <v>11.41</v>
      </c>
      <c r="BN1104">
        <v>87.47</v>
      </c>
      <c r="BO1104">
        <v>87.47</v>
      </c>
      <c r="BQ1104" t="s">
        <v>1271</v>
      </c>
      <c r="BR1104" t="s">
        <v>82</v>
      </c>
      <c r="BS1104" s="3">
        <v>46000</v>
      </c>
      <c r="BT1104" s="4">
        <v>0.3611111111111111</v>
      </c>
      <c r="BU1104" t="s">
        <v>1851</v>
      </c>
      <c r="BV1104" t="s">
        <v>84</v>
      </c>
      <c r="BY1104">
        <v>1200</v>
      </c>
      <c r="CA1104" t="s">
        <v>126</v>
      </c>
      <c r="CC1104" t="s">
        <v>121</v>
      </c>
      <c r="CD1104">
        <v>6229</v>
      </c>
      <c r="CE1104" t="s">
        <v>134</v>
      </c>
      <c r="CF1104" s="3">
        <v>46000</v>
      </c>
      <c r="CI1104">
        <v>1</v>
      </c>
      <c r="CJ1104">
        <v>1</v>
      </c>
      <c r="CK1104">
        <v>21</v>
      </c>
      <c r="CL1104" t="s">
        <v>87</v>
      </c>
    </row>
    <row r="1105" spans="1:90" x14ac:dyDescent="0.3">
      <c r="A1105" t="s">
        <v>72</v>
      </c>
      <c r="B1105" t="s">
        <v>73</v>
      </c>
      <c r="C1105" t="s">
        <v>74</v>
      </c>
      <c r="E1105" t="str">
        <f>"080069760097"</f>
        <v>080069760097</v>
      </c>
      <c r="F1105" s="3">
        <v>45999</v>
      </c>
      <c r="G1105">
        <v>202609</v>
      </c>
      <c r="H1105" t="s">
        <v>75</v>
      </c>
      <c r="I1105" t="s">
        <v>76</v>
      </c>
      <c r="J1105" t="s">
        <v>77</v>
      </c>
      <c r="K1105" t="s">
        <v>78</v>
      </c>
      <c r="L1105" t="s">
        <v>94</v>
      </c>
      <c r="M1105" t="s">
        <v>95</v>
      </c>
      <c r="N1105" t="s">
        <v>1852</v>
      </c>
      <c r="O1105" t="s">
        <v>89</v>
      </c>
      <c r="P1105" t="str">
        <f>"4170072449                    "</f>
        <v xml:space="preserve">4170072449                    </v>
      </c>
      <c r="Q1105">
        <v>0</v>
      </c>
      <c r="R1105">
        <v>0</v>
      </c>
      <c r="S1105">
        <v>0</v>
      </c>
      <c r="T1105">
        <v>0</v>
      </c>
      <c r="U1105">
        <v>0</v>
      </c>
      <c r="V1105">
        <v>0</v>
      </c>
      <c r="W1105">
        <v>0</v>
      </c>
      <c r="X1105">
        <v>0</v>
      </c>
      <c r="Y1105">
        <v>0</v>
      </c>
      <c r="Z1105">
        <v>0</v>
      </c>
      <c r="AA1105">
        <v>0</v>
      </c>
      <c r="AB1105">
        <v>0</v>
      </c>
      <c r="AC1105">
        <v>0</v>
      </c>
      <c r="AD1105">
        <v>0</v>
      </c>
      <c r="AE1105">
        <v>0</v>
      </c>
      <c r="AF1105">
        <v>0</v>
      </c>
      <c r="AG1105">
        <v>0</v>
      </c>
      <c r="AH1105">
        <v>0</v>
      </c>
      <c r="AI1105">
        <v>0</v>
      </c>
      <c r="AJ1105">
        <v>0</v>
      </c>
      <c r="AK1105">
        <v>0</v>
      </c>
      <c r="AL1105">
        <v>0</v>
      </c>
      <c r="AM1105">
        <v>0</v>
      </c>
      <c r="AN1105">
        <v>0</v>
      </c>
      <c r="AO1105">
        <v>0</v>
      </c>
      <c r="AP1105">
        <v>0</v>
      </c>
      <c r="AQ1105">
        <v>57.41</v>
      </c>
      <c r="AR1105">
        <v>0</v>
      </c>
      <c r="AS1105">
        <v>0</v>
      </c>
      <c r="AT1105">
        <v>0</v>
      </c>
      <c r="AU1105">
        <v>0</v>
      </c>
      <c r="AV1105">
        <v>0</v>
      </c>
      <c r="AW1105">
        <v>0</v>
      </c>
      <c r="AX1105">
        <v>0</v>
      </c>
      <c r="AY1105">
        <v>0</v>
      </c>
      <c r="AZ1105">
        <v>0</v>
      </c>
      <c r="BA1105">
        <v>0</v>
      </c>
      <c r="BB1105">
        <v>0</v>
      </c>
      <c r="BC1105">
        <v>0</v>
      </c>
      <c r="BD1105">
        <v>0</v>
      </c>
      <c r="BE1105">
        <v>0</v>
      </c>
      <c r="BF1105">
        <v>0</v>
      </c>
      <c r="BG1105">
        <v>0</v>
      </c>
      <c r="BH1105">
        <v>1</v>
      </c>
      <c r="BI1105">
        <v>3</v>
      </c>
      <c r="BJ1105">
        <v>4.3</v>
      </c>
      <c r="BK1105">
        <v>4.5</v>
      </c>
      <c r="BL1105">
        <v>171.1</v>
      </c>
      <c r="BM1105">
        <v>25.67</v>
      </c>
      <c r="BN1105">
        <v>196.77</v>
      </c>
      <c r="BO1105">
        <v>196.77</v>
      </c>
      <c r="BQ1105" t="s">
        <v>1853</v>
      </c>
      <c r="BR1105" t="s">
        <v>82</v>
      </c>
      <c r="BS1105" s="3">
        <v>46000</v>
      </c>
      <c r="BT1105" s="4">
        <v>0.39305555555555555</v>
      </c>
      <c r="BU1105" t="s">
        <v>1854</v>
      </c>
      <c r="BV1105" t="s">
        <v>84</v>
      </c>
      <c r="BY1105">
        <v>21280</v>
      </c>
      <c r="CA1105" t="s">
        <v>929</v>
      </c>
      <c r="CC1105" t="s">
        <v>95</v>
      </c>
      <c r="CD1105">
        <v>3610</v>
      </c>
      <c r="CE1105" t="s">
        <v>93</v>
      </c>
      <c r="CF1105" s="3">
        <v>46000</v>
      </c>
      <c r="CI1105">
        <v>1</v>
      </c>
      <c r="CJ1105">
        <v>1</v>
      </c>
      <c r="CK1105">
        <v>21</v>
      </c>
      <c r="CL1105" t="s">
        <v>87</v>
      </c>
    </row>
    <row r="1106" spans="1:90" x14ac:dyDescent="0.3">
      <c r="A1106" t="s">
        <v>72</v>
      </c>
      <c r="B1106" t="s">
        <v>73</v>
      </c>
      <c r="C1106" t="s">
        <v>74</v>
      </c>
      <c r="E1106" t="str">
        <f>"080069760142"</f>
        <v>080069760142</v>
      </c>
      <c r="F1106" s="3">
        <v>45999</v>
      </c>
      <c r="G1106">
        <v>202609</v>
      </c>
      <c r="H1106" t="s">
        <v>75</v>
      </c>
      <c r="I1106" t="s">
        <v>76</v>
      </c>
      <c r="J1106" t="s">
        <v>77</v>
      </c>
      <c r="K1106" t="s">
        <v>78</v>
      </c>
      <c r="L1106" t="s">
        <v>302</v>
      </c>
      <c r="M1106" t="s">
        <v>303</v>
      </c>
      <c r="N1106" t="s">
        <v>590</v>
      </c>
      <c r="O1106" t="s">
        <v>89</v>
      </c>
      <c r="P1106" t="str">
        <f>"4170072550                    "</f>
        <v xml:space="preserve">4170072550                    </v>
      </c>
      <c r="Q1106">
        <v>0</v>
      </c>
      <c r="R1106">
        <v>0</v>
      </c>
      <c r="S1106">
        <v>0</v>
      </c>
      <c r="T1106">
        <v>0</v>
      </c>
      <c r="U1106">
        <v>0</v>
      </c>
      <c r="V1106">
        <v>0</v>
      </c>
      <c r="W1106">
        <v>0</v>
      </c>
      <c r="X1106">
        <v>0</v>
      </c>
      <c r="Y1106">
        <v>0</v>
      </c>
      <c r="Z1106">
        <v>0</v>
      </c>
      <c r="AA1106">
        <v>0</v>
      </c>
      <c r="AB1106">
        <v>0</v>
      </c>
      <c r="AC1106">
        <v>0</v>
      </c>
      <c r="AD1106">
        <v>0</v>
      </c>
      <c r="AE1106">
        <v>0</v>
      </c>
      <c r="AF1106">
        <v>0</v>
      </c>
      <c r="AG1106">
        <v>0</v>
      </c>
      <c r="AH1106">
        <v>0</v>
      </c>
      <c r="AI1106">
        <v>0</v>
      </c>
      <c r="AJ1106">
        <v>0</v>
      </c>
      <c r="AK1106">
        <v>0</v>
      </c>
      <c r="AL1106">
        <v>0</v>
      </c>
      <c r="AM1106">
        <v>0</v>
      </c>
      <c r="AN1106">
        <v>0</v>
      </c>
      <c r="AO1106">
        <v>0</v>
      </c>
      <c r="AP1106">
        <v>0</v>
      </c>
      <c r="AQ1106">
        <v>25.52</v>
      </c>
      <c r="AR1106">
        <v>0</v>
      </c>
      <c r="AS1106">
        <v>0</v>
      </c>
      <c r="AT1106">
        <v>0</v>
      </c>
      <c r="AU1106">
        <v>0</v>
      </c>
      <c r="AV1106">
        <v>0</v>
      </c>
      <c r="AW1106">
        <v>0</v>
      </c>
      <c r="AX1106">
        <v>0</v>
      </c>
      <c r="AY1106">
        <v>0</v>
      </c>
      <c r="AZ1106">
        <v>0</v>
      </c>
      <c r="BA1106">
        <v>0</v>
      </c>
      <c r="BB1106">
        <v>0</v>
      </c>
      <c r="BC1106">
        <v>0</v>
      </c>
      <c r="BD1106">
        <v>0</v>
      </c>
      <c r="BE1106">
        <v>0</v>
      </c>
      <c r="BF1106">
        <v>0</v>
      </c>
      <c r="BG1106">
        <v>0</v>
      </c>
      <c r="BH1106">
        <v>1</v>
      </c>
      <c r="BI1106">
        <v>1</v>
      </c>
      <c r="BJ1106">
        <v>0.7</v>
      </c>
      <c r="BK1106">
        <v>1</v>
      </c>
      <c r="BL1106">
        <v>76.06</v>
      </c>
      <c r="BM1106">
        <v>11.41</v>
      </c>
      <c r="BN1106">
        <v>87.47</v>
      </c>
      <c r="BO1106">
        <v>87.47</v>
      </c>
      <c r="BQ1106" t="s">
        <v>591</v>
      </c>
      <c r="BR1106" t="s">
        <v>82</v>
      </c>
      <c r="BS1106" t="s">
        <v>500</v>
      </c>
      <c r="BY1106">
        <v>3306</v>
      </c>
      <c r="CC1106" t="s">
        <v>303</v>
      </c>
      <c r="CD1106" s="5" t="s">
        <v>433</v>
      </c>
      <c r="CE1106" t="s">
        <v>86</v>
      </c>
      <c r="CI1106">
        <v>1</v>
      </c>
      <c r="CJ1106" t="s">
        <v>500</v>
      </c>
      <c r="CK1106">
        <v>21</v>
      </c>
      <c r="CL1106" t="s">
        <v>87</v>
      </c>
    </row>
    <row r="1107" spans="1:90" x14ac:dyDescent="0.3">
      <c r="A1107" t="s">
        <v>72</v>
      </c>
      <c r="B1107" t="s">
        <v>73</v>
      </c>
      <c r="C1107" t="s">
        <v>74</v>
      </c>
      <c r="E1107" t="str">
        <f>"080069760134"</f>
        <v>080069760134</v>
      </c>
      <c r="F1107" s="3">
        <v>45999</v>
      </c>
      <c r="G1107">
        <v>202609</v>
      </c>
      <c r="H1107" t="s">
        <v>75</v>
      </c>
      <c r="I1107" t="s">
        <v>76</v>
      </c>
      <c r="J1107" t="s">
        <v>77</v>
      </c>
      <c r="K1107" t="s">
        <v>78</v>
      </c>
      <c r="L1107" t="s">
        <v>265</v>
      </c>
      <c r="M1107" t="s">
        <v>266</v>
      </c>
      <c r="N1107" t="s">
        <v>316</v>
      </c>
      <c r="O1107" t="s">
        <v>89</v>
      </c>
      <c r="P1107" t="str">
        <f>"4170072557                    "</f>
        <v xml:space="preserve">4170072557                    </v>
      </c>
      <c r="Q1107">
        <v>0</v>
      </c>
      <c r="R1107">
        <v>0</v>
      </c>
      <c r="S1107">
        <v>0</v>
      </c>
      <c r="T1107">
        <v>0</v>
      </c>
      <c r="U1107">
        <v>0</v>
      </c>
      <c r="V1107">
        <v>0</v>
      </c>
      <c r="W1107">
        <v>0</v>
      </c>
      <c r="X1107">
        <v>0</v>
      </c>
      <c r="Y1107">
        <v>0</v>
      </c>
      <c r="Z1107">
        <v>0</v>
      </c>
      <c r="AA1107">
        <v>0</v>
      </c>
      <c r="AB1107">
        <v>0</v>
      </c>
      <c r="AC1107">
        <v>0</v>
      </c>
      <c r="AD1107">
        <v>0</v>
      </c>
      <c r="AE1107">
        <v>0</v>
      </c>
      <c r="AF1107">
        <v>0</v>
      </c>
      <c r="AG1107">
        <v>0</v>
      </c>
      <c r="AH1107">
        <v>0</v>
      </c>
      <c r="AI1107">
        <v>0</v>
      </c>
      <c r="AJ1107">
        <v>0</v>
      </c>
      <c r="AK1107">
        <v>0</v>
      </c>
      <c r="AL1107">
        <v>0</v>
      </c>
      <c r="AM1107">
        <v>0</v>
      </c>
      <c r="AN1107">
        <v>0</v>
      </c>
      <c r="AO1107">
        <v>0</v>
      </c>
      <c r="AP1107">
        <v>0</v>
      </c>
      <c r="AQ1107">
        <v>19.940000000000001</v>
      </c>
      <c r="AR1107">
        <v>0</v>
      </c>
      <c r="AS1107">
        <v>0</v>
      </c>
      <c r="AT1107">
        <v>0</v>
      </c>
      <c r="AU1107">
        <v>0</v>
      </c>
      <c r="AV1107">
        <v>0</v>
      </c>
      <c r="AW1107">
        <v>0</v>
      </c>
      <c r="AX1107">
        <v>0</v>
      </c>
      <c r="AY1107">
        <v>0</v>
      </c>
      <c r="AZ1107">
        <v>0</v>
      </c>
      <c r="BA1107">
        <v>0</v>
      </c>
      <c r="BB1107">
        <v>0</v>
      </c>
      <c r="BC1107">
        <v>0</v>
      </c>
      <c r="BD1107">
        <v>0</v>
      </c>
      <c r="BE1107">
        <v>0</v>
      </c>
      <c r="BF1107">
        <v>0</v>
      </c>
      <c r="BG1107">
        <v>0</v>
      </c>
      <c r="BH1107">
        <v>1</v>
      </c>
      <c r="BI1107">
        <v>1</v>
      </c>
      <c r="BJ1107">
        <v>0.2</v>
      </c>
      <c r="BK1107">
        <v>1</v>
      </c>
      <c r="BL1107">
        <v>59.42</v>
      </c>
      <c r="BM1107">
        <v>8.91</v>
      </c>
      <c r="BN1107">
        <v>68.33</v>
      </c>
      <c r="BO1107">
        <v>68.33</v>
      </c>
      <c r="BQ1107" t="s">
        <v>317</v>
      </c>
      <c r="BR1107" t="s">
        <v>82</v>
      </c>
      <c r="BS1107" s="3">
        <v>46000</v>
      </c>
      <c r="BT1107" s="4">
        <v>0.39374999999999999</v>
      </c>
      <c r="BU1107" t="s">
        <v>1709</v>
      </c>
      <c r="BV1107" t="s">
        <v>84</v>
      </c>
      <c r="BY1107">
        <v>1200</v>
      </c>
      <c r="CA1107" t="s">
        <v>319</v>
      </c>
      <c r="CC1107" t="s">
        <v>266</v>
      </c>
      <c r="CD1107">
        <v>1459</v>
      </c>
      <c r="CE1107" t="s">
        <v>134</v>
      </c>
      <c r="CF1107" s="3">
        <v>46001</v>
      </c>
      <c r="CI1107">
        <v>1</v>
      </c>
      <c r="CJ1107">
        <v>1</v>
      </c>
      <c r="CK1107">
        <v>22</v>
      </c>
      <c r="CL1107" t="s">
        <v>87</v>
      </c>
    </row>
    <row r="1108" spans="1:90" x14ac:dyDescent="0.3">
      <c r="A1108" t="s">
        <v>72</v>
      </c>
      <c r="B1108" t="s">
        <v>73</v>
      </c>
      <c r="C1108" t="s">
        <v>74</v>
      </c>
      <c r="E1108" t="str">
        <f>"080069760177"</f>
        <v>080069760177</v>
      </c>
      <c r="F1108" s="3">
        <v>45999</v>
      </c>
      <c r="G1108">
        <v>202609</v>
      </c>
      <c r="H1108" t="s">
        <v>75</v>
      </c>
      <c r="I1108" t="s">
        <v>76</v>
      </c>
      <c r="J1108" t="s">
        <v>77</v>
      </c>
      <c r="K1108" t="s">
        <v>78</v>
      </c>
      <c r="L1108" t="s">
        <v>100</v>
      </c>
      <c r="M1108" t="s">
        <v>101</v>
      </c>
      <c r="N1108" t="s">
        <v>102</v>
      </c>
      <c r="O1108" t="s">
        <v>89</v>
      </c>
      <c r="P1108" t="str">
        <f>"4170072439                    "</f>
        <v xml:space="preserve">4170072439                    </v>
      </c>
      <c r="Q1108">
        <v>0</v>
      </c>
      <c r="R1108">
        <v>0</v>
      </c>
      <c r="S1108">
        <v>0</v>
      </c>
      <c r="T1108">
        <v>0</v>
      </c>
      <c r="U1108">
        <v>0</v>
      </c>
      <c r="V1108">
        <v>0</v>
      </c>
      <c r="W1108">
        <v>0</v>
      </c>
      <c r="X1108">
        <v>0</v>
      </c>
      <c r="Y1108">
        <v>0</v>
      </c>
      <c r="Z1108">
        <v>0</v>
      </c>
      <c r="AA1108">
        <v>0</v>
      </c>
      <c r="AB1108">
        <v>0</v>
      </c>
      <c r="AC1108">
        <v>0</v>
      </c>
      <c r="AD1108">
        <v>0</v>
      </c>
      <c r="AE1108">
        <v>0</v>
      </c>
      <c r="AF1108">
        <v>0</v>
      </c>
      <c r="AG1108">
        <v>0</v>
      </c>
      <c r="AH1108">
        <v>0</v>
      </c>
      <c r="AI1108">
        <v>0</v>
      </c>
      <c r="AJ1108">
        <v>0</v>
      </c>
      <c r="AK1108">
        <v>0</v>
      </c>
      <c r="AL1108">
        <v>0</v>
      </c>
      <c r="AM1108">
        <v>0</v>
      </c>
      <c r="AN1108">
        <v>0</v>
      </c>
      <c r="AO1108">
        <v>0</v>
      </c>
      <c r="AP1108">
        <v>0</v>
      </c>
      <c r="AQ1108">
        <v>25.52</v>
      </c>
      <c r="AR1108">
        <v>0</v>
      </c>
      <c r="AS1108">
        <v>0</v>
      </c>
      <c r="AT1108">
        <v>0</v>
      </c>
      <c r="AU1108">
        <v>0</v>
      </c>
      <c r="AV1108">
        <v>0</v>
      </c>
      <c r="AW1108">
        <v>0</v>
      </c>
      <c r="AX1108">
        <v>0</v>
      </c>
      <c r="AY1108">
        <v>0</v>
      </c>
      <c r="AZ1108">
        <v>0</v>
      </c>
      <c r="BA1108">
        <v>0</v>
      </c>
      <c r="BB1108">
        <v>0</v>
      </c>
      <c r="BC1108">
        <v>0</v>
      </c>
      <c r="BD1108">
        <v>0</v>
      </c>
      <c r="BE1108">
        <v>0</v>
      </c>
      <c r="BF1108">
        <v>0</v>
      </c>
      <c r="BG1108">
        <v>0</v>
      </c>
      <c r="BH1108">
        <v>1</v>
      </c>
      <c r="BI1108">
        <v>2</v>
      </c>
      <c r="BJ1108">
        <v>1.9</v>
      </c>
      <c r="BK1108">
        <v>2</v>
      </c>
      <c r="BL1108">
        <v>76.06</v>
      </c>
      <c r="BM1108">
        <v>11.41</v>
      </c>
      <c r="BN1108">
        <v>87.47</v>
      </c>
      <c r="BO1108">
        <v>87.47</v>
      </c>
      <c r="BQ1108" t="s">
        <v>103</v>
      </c>
      <c r="BR1108" t="s">
        <v>82</v>
      </c>
      <c r="BS1108" s="3">
        <v>46000</v>
      </c>
      <c r="BT1108" s="4">
        <v>0.35833333333333334</v>
      </c>
      <c r="BU1108" t="s">
        <v>104</v>
      </c>
      <c r="BV1108" t="s">
        <v>84</v>
      </c>
      <c r="BY1108">
        <v>9600</v>
      </c>
      <c r="CA1108" t="s">
        <v>107</v>
      </c>
      <c r="CC1108" t="s">
        <v>101</v>
      </c>
      <c r="CD1108">
        <v>4051</v>
      </c>
      <c r="CE1108" t="s">
        <v>86</v>
      </c>
      <c r="CF1108" s="3">
        <v>46001</v>
      </c>
      <c r="CI1108">
        <v>1</v>
      </c>
      <c r="CJ1108">
        <v>1</v>
      </c>
      <c r="CK1108">
        <v>21</v>
      </c>
      <c r="CL1108" t="s">
        <v>87</v>
      </c>
    </row>
    <row r="1109" spans="1:90" x14ac:dyDescent="0.3">
      <c r="A1109" t="s">
        <v>72</v>
      </c>
      <c r="B1109" t="s">
        <v>73</v>
      </c>
      <c r="C1109" t="s">
        <v>74</v>
      </c>
      <c r="E1109" t="str">
        <f>"080069760221"</f>
        <v>080069760221</v>
      </c>
      <c r="F1109" s="3">
        <v>45999</v>
      </c>
      <c r="G1109">
        <v>202609</v>
      </c>
      <c r="H1109" t="s">
        <v>75</v>
      </c>
      <c r="I1109" t="s">
        <v>76</v>
      </c>
      <c r="J1109" t="s">
        <v>77</v>
      </c>
      <c r="K1109" t="s">
        <v>78</v>
      </c>
      <c r="L1109" t="s">
        <v>502</v>
      </c>
      <c r="M1109" t="s">
        <v>503</v>
      </c>
      <c r="N1109" t="s">
        <v>1109</v>
      </c>
      <c r="O1109" t="s">
        <v>89</v>
      </c>
      <c r="P1109" t="str">
        <f>"4170072445                    "</f>
        <v xml:space="preserve">4170072445                    </v>
      </c>
      <c r="Q1109">
        <v>0</v>
      </c>
      <c r="R1109">
        <v>0</v>
      </c>
      <c r="S1109">
        <v>0</v>
      </c>
      <c r="T1109">
        <v>0</v>
      </c>
      <c r="U1109">
        <v>0</v>
      </c>
      <c r="V1109">
        <v>0</v>
      </c>
      <c r="W1109">
        <v>0</v>
      </c>
      <c r="X1109">
        <v>0</v>
      </c>
      <c r="Y1109">
        <v>0</v>
      </c>
      <c r="Z1109">
        <v>0</v>
      </c>
      <c r="AA1109">
        <v>0</v>
      </c>
      <c r="AB1109">
        <v>0</v>
      </c>
      <c r="AC1109">
        <v>0</v>
      </c>
      <c r="AD1109">
        <v>0</v>
      </c>
      <c r="AE1109">
        <v>0</v>
      </c>
      <c r="AF1109">
        <v>0</v>
      </c>
      <c r="AG1109">
        <v>0</v>
      </c>
      <c r="AH1109">
        <v>0</v>
      </c>
      <c r="AI1109">
        <v>0</v>
      </c>
      <c r="AJ1109">
        <v>0</v>
      </c>
      <c r="AK1109">
        <v>0</v>
      </c>
      <c r="AL1109">
        <v>0</v>
      </c>
      <c r="AM1109">
        <v>0</v>
      </c>
      <c r="AN1109">
        <v>0</v>
      </c>
      <c r="AO1109">
        <v>0</v>
      </c>
      <c r="AP1109">
        <v>0</v>
      </c>
      <c r="AQ1109">
        <v>19.940000000000001</v>
      </c>
      <c r="AR1109">
        <v>0</v>
      </c>
      <c r="AS1109">
        <v>0</v>
      </c>
      <c r="AT1109">
        <v>0</v>
      </c>
      <c r="AU1109">
        <v>0</v>
      </c>
      <c r="AV1109">
        <v>0</v>
      </c>
      <c r="AW1109">
        <v>0</v>
      </c>
      <c r="AX1109">
        <v>0</v>
      </c>
      <c r="AY1109">
        <v>0</v>
      </c>
      <c r="AZ1109">
        <v>0</v>
      </c>
      <c r="BA1109">
        <v>0</v>
      </c>
      <c r="BB1109">
        <v>0</v>
      </c>
      <c r="BC1109">
        <v>0</v>
      </c>
      <c r="BD1109">
        <v>0</v>
      </c>
      <c r="BE1109">
        <v>0</v>
      </c>
      <c r="BF1109">
        <v>0</v>
      </c>
      <c r="BG1109">
        <v>0</v>
      </c>
      <c r="BH1109">
        <v>1</v>
      </c>
      <c r="BI1109">
        <v>3</v>
      </c>
      <c r="BJ1109">
        <v>1.8</v>
      </c>
      <c r="BK1109">
        <v>3</v>
      </c>
      <c r="BL1109">
        <v>59.42</v>
      </c>
      <c r="BM1109">
        <v>8.91</v>
      </c>
      <c r="BN1109">
        <v>68.33</v>
      </c>
      <c r="BO1109">
        <v>68.33</v>
      </c>
      <c r="BQ1109" t="s">
        <v>1110</v>
      </c>
      <c r="BR1109" t="s">
        <v>82</v>
      </c>
      <c r="BS1109" s="3">
        <v>46000</v>
      </c>
      <c r="BT1109" s="4">
        <v>0.37152777777777779</v>
      </c>
      <c r="BU1109" t="s">
        <v>1855</v>
      </c>
      <c r="BV1109" t="s">
        <v>84</v>
      </c>
      <c r="BY1109">
        <v>8816</v>
      </c>
      <c r="CA1109" t="s">
        <v>507</v>
      </c>
      <c r="CC1109" t="s">
        <v>503</v>
      </c>
      <c r="CD1109">
        <v>1559</v>
      </c>
      <c r="CE1109" t="s">
        <v>86</v>
      </c>
      <c r="CF1109" s="3">
        <v>46000</v>
      </c>
      <c r="CI1109">
        <v>1</v>
      </c>
      <c r="CJ1109">
        <v>1</v>
      </c>
      <c r="CK1109">
        <v>22</v>
      </c>
      <c r="CL1109" t="s">
        <v>87</v>
      </c>
    </row>
    <row r="1110" spans="1:90" x14ac:dyDescent="0.3">
      <c r="A1110" t="s">
        <v>72</v>
      </c>
      <c r="B1110" t="s">
        <v>73</v>
      </c>
      <c r="C1110" t="s">
        <v>74</v>
      </c>
      <c r="E1110" t="str">
        <f>"080069760262"</f>
        <v>080069760262</v>
      </c>
      <c r="F1110" s="3">
        <v>45999</v>
      </c>
      <c r="G1110">
        <v>202609</v>
      </c>
      <c r="H1110" t="s">
        <v>75</v>
      </c>
      <c r="I1110" t="s">
        <v>76</v>
      </c>
      <c r="J1110" t="s">
        <v>77</v>
      </c>
      <c r="K1110" t="s">
        <v>78</v>
      </c>
      <c r="L1110" t="s">
        <v>389</v>
      </c>
      <c r="M1110" t="s">
        <v>390</v>
      </c>
      <c r="N1110" t="s">
        <v>1090</v>
      </c>
      <c r="O1110" t="s">
        <v>89</v>
      </c>
      <c r="P1110" t="str">
        <f>"4170072418                    "</f>
        <v xml:space="preserve">4170072418                    </v>
      </c>
      <c r="Q1110">
        <v>0</v>
      </c>
      <c r="R1110">
        <v>0</v>
      </c>
      <c r="S1110">
        <v>0</v>
      </c>
      <c r="T1110">
        <v>0</v>
      </c>
      <c r="U1110">
        <v>0</v>
      </c>
      <c r="V1110">
        <v>0</v>
      </c>
      <c r="W1110">
        <v>0</v>
      </c>
      <c r="X1110">
        <v>0</v>
      </c>
      <c r="Y1110">
        <v>0</v>
      </c>
      <c r="Z1110">
        <v>0</v>
      </c>
      <c r="AA1110">
        <v>0</v>
      </c>
      <c r="AB1110">
        <v>0</v>
      </c>
      <c r="AC1110">
        <v>0</v>
      </c>
      <c r="AD1110">
        <v>0</v>
      </c>
      <c r="AE1110">
        <v>0</v>
      </c>
      <c r="AF1110">
        <v>0</v>
      </c>
      <c r="AG1110">
        <v>0</v>
      </c>
      <c r="AH1110">
        <v>0</v>
      </c>
      <c r="AI1110">
        <v>0</v>
      </c>
      <c r="AJ1110">
        <v>0</v>
      </c>
      <c r="AK1110">
        <v>0</v>
      </c>
      <c r="AL1110">
        <v>0</v>
      </c>
      <c r="AM1110">
        <v>0</v>
      </c>
      <c r="AN1110">
        <v>0</v>
      </c>
      <c r="AO1110">
        <v>0</v>
      </c>
      <c r="AP1110">
        <v>0</v>
      </c>
      <c r="AQ1110">
        <v>49.45</v>
      </c>
      <c r="AR1110">
        <v>0</v>
      </c>
      <c r="AS1110">
        <v>0</v>
      </c>
      <c r="AT1110">
        <v>0</v>
      </c>
      <c r="AU1110">
        <v>0</v>
      </c>
      <c r="AV1110">
        <v>0</v>
      </c>
      <c r="AW1110">
        <v>0</v>
      </c>
      <c r="AX1110">
        <v>0</v>
      </c>
      <c r="AY1110">
        <v>0</v>
      </c>
      <c r="AZ1110">
        <v>0</v>
      </c>
      <c r="BA1110">
        <v>0</v>
      </c>
      <c r="BB1110">
        <v>0</v>
      </c>
      <c r="BC1110">
        <v>0</v>
      </c>
      <c r="BD1110">
        <v>0</v>
      </c>
      <c r="BE1110">
        <v>0</v>
      </c>
      <c r="BF1110">
        <v>0</v>
      </c>
      <c r="BG1110">
        <v>0</v>
      </c>
      <c r="BH1110">
        <v>1</v>
      </c>
      <c r="BI1110">
        <v>2</v>
      </c>
      <c r="BJ1110">
        <v>1.8</v>
      </c>
      <c r="BK1110">
        <v>2</v>
      </c>
      <c r="BL1110">
        <v>147.38</v>
      </c>
      <c r="BM1110">
        <v>22.11</v>
      </c>
      <c r="BN1110">
        <v>169.49</v>
      </c>
      <c r="BO1110">
        <v>169.49</v>
      </c>
      <c r="BQ1110" t="s">
        <v>1091</v>
      </c>
      <c r="BR1110" t="s">
        <v>82</v>
      </c>
      <c r="BS1110" s="3">
        <v>46000</v>
      </c>
      <c r="BT1110" s="4">
        <v>0.4375</v>
      </c>
      <c r="BU1110" t="s">
        <v>1856</v>
      </c>
      <c r="BV1110" t="s">
        <v>84</v>
      </c>
      <c r="BY1110">
        <v>8816</v>
      </c>
      <c r="CA1110">
        <v>7601035402088</v>
      </c>
      <c r="CC1110" t="s">
        <v>390</v>
      </c>
      <c r="CD1110" s="5" t="s">
        <v>395</v>
      </c>
      <c r="CE1110" t="s">
        <v>86</v>
      </c>
      <c r="CF1110" s="3">
        <v>46002</v>
      </c>
      <c r="CI1110">
        <v>1</v>
      </c>
      <c r="CJ1110">
        <v>1</v>
      </c>
      <c r="CK1110">
        <v>23</v>
      </c>
      <c r="CL1110" t="s">
        <v>87</v>
      </c>
    </row>
    <row r="1111" spans="1:90" x14ac:dyDescent="0.3">
      <c r="A1111" t="s">
        <v>72</v>
      </c>
      <c r="B1111" t="s">
        <v>73</v>
      </c>
      <c r="C1111" t="s">
        <v>74</v>
      </c>
      <c r="E1111" t="str">
        <f>"080069760300"</f>
        <v>080069760300</v>
      </c>
      <c r="F1111" s="3">
        <v>45999</v>
      </c>
      <c r="G1111">
        <v>202609</v>
      </c>
      <c r="H1111" t="s">
        <v>75</v>
      </c>
      <c r="I1111" t="s">
        <v>76</v>
      </c>
      <c r="J1111" t="s">
        <v>77</v>
      </c>
      <c r="K1111" t="s">
        <v>78</v>
      </c>
      <c r="L1111" t="s">
        <v>465</v>
      </c>
      <c r="M1111" t="s">
        <v>466</v>
      </c>
      <c r="N1111" t="s">
        <v>1020</v>
      </c>
      <c r="O1111" t="s">
        <v>89</v>
      </c>
      <c r="P1111" t="str">
        <f>"4170072551                    "</f>
        <v xml:space="preserve">4170072551                    </v>
      </c>
      <c r="Q1111">
        <v>0</v>
      </c>
      <c r="R1111">
        <v>0</v>
      </c>
      <c r="S1111">
        <v>0</v>
      </c>
      <c r="T1111">
        <v>0</v>
      </c>
      <c r="U1111">
        <v>0</v>
      </c>
      <c r="V1111">
        <v>0</v>
      </c>
      <c r="W1111">
        <v>0</v>
      </c>
      <c r="X1111">
        <v>0</v>
      </c>
      <c r="Y1111">
        <v>0</v>
      </c>
      <c r="Z1111">
        <v>0</v>
      </c>
      <c r="AA1111">
        <v>0</v>
      </c>
      <c r="AB1111">
        <v>0</v>
      </c>
      <c r="AC1111">
        <v>0</v>
      </c>
      <c r="AD1111">
        <v>0</v>
      </c>
      <c r="AE1111">
        <v>0</v>
      </c>
      <c r="AF1111">
        <v>0</v>
      </c>
      <c r="AG1111">
        <v>0</v>
      </c>
      <c r="AH1111">
        <v>0</v>
      </c>
      <c r="AI1111">
        <v>0</v>
      </c>
      <c r="AJ1111">
        <v>0</v>
      </c>
      <c r="AK1111">
        <v>0</v>
      </c>
      <c r="AL1111">
        <v>0</v>
      </c>
      <c r="AM1111">
        <v>0</v>
      </c>
      <c r="AN1111">
        <v>0</v>
      </c>
      <c r="AO1111">
        <v>0</v>
      </c>
      <c r="AP1111">
        <v>0</v>
      </c>
      <c r="AQ1111">
        <v>19.940000000000001</v>
      </c>
      <c r="AR1111">
        <v>0</v>
      </c>
      <c r="AS1111">
        <v>0</v>
      </c>
      <c r="AT1111">
        <v>0</v>
      </c>
      <c r="AU1111">
        <v>0</v>
      </c>
      <c r="AV1111">
        <v>0</v>
      </c>
      <c r="AW1111">
        <v>0</v>
      </c>
      <c r="AX1111">
        <v>0</v>
      </c>
      <c r="AY1111">
        <v>0</v>
      </c>
      <c r="AZ1111">
        <v>0</v>
      </c>
      <c r="BA1111">
        <v>0</v>
      </c>
      <c r="BB1111">
        <v>0</v>
      </c>
      <c r="BC1111">
        <v>0</v>
      </c>
      <c r="BD1111">
        <v>0</v>
      </c>
      <c r="BE1111">
        <v>0</v>
      </c>
      <c r="BF1111">
        <v>0</v>
      </c>
      <c r="BG1111">
        <v>0</v>
      </c>
      <c r="BH1111">
        <v>1</v>
      </c>
      <c r="BI1111">
        <v>2</v>
      </c>
      <c r="BJ1111">
        <v>1.4</v>
      </c>
      <c r="BK1111">
        <v>2</v>
      </c>
      <c r="BL1111">
        <v>59.42</v>
      </c>
      <c r="BM1111">
        <v>8.91</v>
      </c>
      <c r="BN1111">
        <v>68.33</v>
      </c>
      <c r="BO1111">
        <v>68.33</v>
      </c>
      <c r="BQ1111" t="s">
        <v>1021</v>
      </c>
      <c r="BR1111" t="s">
        <v>82</v>
      </c>
      <c r="BS1111" s="3">
        <v>46000</v>
      </c>
      <c r="BT1111" s="4">
        <v>0.45763888888888887</v>
      </c>
      <c r="BU1111" t="s">
        <v>83</v>
      </c>
      <c r="BV1111" t="s">
        <v>87</v>
      </c>
      <c r="BY1111">
        <v>7000</v>
      </c>
      <c r="CA1111" t="s">
        <v>1782</v>
      </c>
      <c r="CC1111" t="s">
        <v>466</v>
      </c>
      <c r="CD1111">
        <v>1401</v>
      </c>
      <c r="CE1111" t="s">
        <v>86</v>
      </c>
      <c r="CF1111" s="3">
        <v>46001</v>
      </c>
      <c r="CI1111">
        <v>1</v>
      </c>
      <c r="CJ1111">
        <v>1</v>
      </c>
      <c r="CK1111">
        <v>22</v>
      </c>
      <c r="CL1111" t="s">
        <v>87</v>
      </c>
    </row>
    <row r="1112" spans="1:90" x14ac:dyDescent="0.3">
      <c r="A1112" t="s">
        <v>72</v>
      </c>
      <c r="B1112" t="s">
        <v>73</v>
      </c>
      <c r="C1112" t="s">
        <v>74</v>
      </c>
      <c r="E1112" t="str">
        <f>"080069760504"</f>
        <v>080069760504</v>
      </c>
      <c r="F1112" s="3">
        <v>45999</v>
      </c>
      <c r="G1112">
        <v>202609</v>
      </c>
      <c r="H1112" t="s">
        <v>75</v>
      </c>
      <c r="I1112" t="s">
        <v>76</v>
      </c>
      <c r="J1112" t="s">
        <v>77</v>
      </c>
      <c r="K1112" t="s">
        <v>78</v>
      </c>
      <c r="L1112" t="s">
        <v>156</v>
      </c>
      <c r="M1112" t="s">
        <v>157</v>
      </c>
      <c r="N1112" t="s">
        <v>443</v>
      </c>
      <c r="O1112" t="s">
        <v>89</v>
      </c>
      <c r="P1112" t="str">
        <f>"4170072535                    "</f>
        <v xml:space="preserve">4170072535                    </v>
      </c>
      <c r="Q1112">
        <v>0</v>
      </c>
      <c r="R1112">
        <v>0</v>
      </c>
      <c r="S1112">
        <v>0</v>
      </c>
      <c r="T1112">
        <v>0</v>
      </c>
      <c r="U1112">
        <v>0</v>
      </c>
      <c r="V1112">
        <v>0</v>
      </c>
      <c r="W1112">
        <v>0</v>
      </c>
      <c r="X1112">
        <v>0</v>
      </c>
      <c r="Y1112">
        <v>0</v>
      </c>
      <c r="Z1112">
        <v>0</v>
      </c>
      <c r="AA1112">
        <v>0</v>
      </c>
      <c r="AB1112">
        <v>0</v>
      </c>
      <c r="AC1112">
        <v>0</v>
      </c>
      <c r="AD1112">
        <v>0</v>
      </c>
      <c r="AE1112">
        <v>0</v>
      </c>
      <c r="AF1112">
        <v>0</v>
      </c>
      <c r="AG1112">
        <v>0</v>
      </c>
      <c r="AH1112">
        <v>0</v>
      </c>
      <c r="AI1112">
        <v>0</v>
      </c>
      <c r="AJ1112">
        <v>0</v>
      </c>
      <c r="AK1112">
        <v>0</v>
      </c>
      <c r="AL1112">
        <v>0</v>
      </c>
      <c r="AM1112">
        <v>0</v>
      </c>
      <c r="AN1112">
        <v>0</v>
      </c>
      <c r="AO1112">
        <v>0</v>
      </c>
      <c r="AP1112">
        <v>0</v>
      </c>
      <c r="AQ1112">
        <v>25.52</v>
      </c>
      <c r="AR1112">
        <v>0</v>
      </c>
      <c r="AS1112">
        <v>0</v>
      </c>
      <c r="AT1112">
        <v>0</v>
      </c>
      <c r="AU1112">
        <v>0</v>
      </c>
      <c r="AV1112">
        <v>0</v>
      </c>
      <c r="AW1112">
        <v>0</v>
      </c>
      <c r="AX1112">
        <v>0</v>
      </c>
      <c r="AY1112">
        <v>0</v>
      </c>
      <c r="AZ1112">
        <v>0</v>
      </c>
      <c r="BA1112">
        <v>0</v>
      </c>
      <c r="BB1112">
        <v>0</v>
      </c>
      <c r="BC1112">
        <v>0</v>
      </c>
      <c r="BD1112">
        <v>0</v>
      </c>
      <c r="BE1112">
        <v>0</v>
      </c>
      <c r="BF1112">
        <v>0</v>
      </c>
      <c r="BG1112">
        <v>0</v>
      </c>
      <c r="BH1112">
        <v>1</v>
      </c>
      <c r="BI1112">
        <v>1</v>
      </c>
      <c r="BJ1112">
        <v>0.2</v>
      </c>
      <c r="BK1112">
        <v>1</v>
      </c>
      <c r="BL1112">
        <v>76.06</v>
      </c>
      <c r="BM1112">
        <v>11.41</v>
      </c>
      <c r="BN1112">
        <v>87.47</v>
      </c>
      <c r="BO1112">
        <v>87.47</v>
      </c>
      <c r="BQ1112" t="s">
        <v>444</v>
      </c>
      <c r="BR1112" t="s">
        <v>82</v>
      </c>
      <c r="BS1112" s="3">
        <v>46000</v>
      </c>
      <c r="BT1112" s="4">
        <v>0.3347222222222222</v>
      </c>
      <c r="BU1112" t="s">
        <v>1194</v>
      </c>
      <c r="BV1112" t="s">
        <v>84</v>
      </c>
      <c r="BY1112">
        <v>1200</v>
      </c>
      <c r="CA1112" t="s">
        <v>346</v>
      </c>
      <c r="CC1112" t="s">
        <v>157</v>
      </c>
      <c r="CD1112">
        <v>7530</v>
      </c>
      <c r="CE1112" t="s">
        <v>134</v>
      </c>
      <c r="CF1112" s="3">
        <v>46001</v>
      </c>
      <c r="CI1112">
        <v>1</v>
      </c>
      <c r="CJ1112">
        <v>1</v>
      </c>
      <c r="CK1112">
        <v>21</v>
      </c>
      <c r="CL1112" t="s">
        <v>87</v>
      </c>
    </row>
    <row r="1113" spans="1:90" x14ac:dyDescent="0.3">
      <c r="A1113" t="s">
        <v>72</v>
      </c>
      <c r="B1113" t="s">
        <v>73</v>
      </c>
      <c r="C1113" t="s">
        <v>74</v>
      </c>
      <c r="E1113" t="str">
        <f>"080069760509"</f>
        <v>080069760509</v>
      </c>
      <c r="F1113" s="3">
        <v>45999</v>
      </c>
      <c r="G1113">
        <v>202609</v>
      </c>
      <c r="H1113" t="s">
        <v>75</v>
      </c>
      <c r="I1113" t="s">
        <v>76</v>
      </c>
      <c r="J1113" t="s">
        <v>77</v>
      </c>
      <c r="K1113" t="s">
        <v>78</v>
      </c>
      <c r="L1113" t="s">
        <v>535</v>
      </c>
      <c r="M1113" t="s">
        <v>535</v>
      </c>
      <c r="N1113" t="s">
        <v>536</v>
      </c>
      <c r="O1113" t="s">
        <v>89</v>
      </c>
      <c r="P1113" t="str">
        <f>"4170072548                    "</f>
        <v xml:space="preserve">4170072548                    </v>
      </c>
      <c r="Q1113">
        <v>0</v>
      </c>
      <c r="R1113">
        <v>0</v>
      </c>
      <c r="S1113">
        <v>0</v>
      </c>
      <c r="T1113">
        <v>0</v>
      </c>
      <c r="U1113">
        <v>0</v>
      </c>
      <c r="V1113">
        <v>0</v>
      </c>
      <c r="W1113">
        <v>0</v>
      </c>
      <c r="X1113">
        <v>0</v>
      </c>
      <c r="Y1113">
        <v>0</v>
      </c>
      <c r="Z1113">
        <v>0</v>
      </c>
      <c r="AA1113">
        <v>0</v>
      </c>
      <c r="AB1113">
        <v>0</v>
      </c>
      <c r="AC1113">
        <v>0</v>
      </c>
      <c r="AD1113">
        <v>0</v>
      </c>
      <c r="AE1113">
        <v>0</v>
      </c>
      <c r="AF1113">
        <v>0</v>
      </c>
      <c r="AG1113">
        <v>0</v>
      </c>
      <c r="AH1113">
        <v>0</v>
      </c>
      <c r="AI1113">
        <v>0</v>
      </c>
      <c r="AJ1113">
        <v>0</v>
      </c>
      <c r="AK1113">
        <v>0</v>
      </c>
      <c r="AL1113">
        <v>0</v>
      </c>
      <c r="AM1113">
        <v>0</v>
      </c>
      <c r="AN1113">
        <v>0</v>
      </c>
      <c r="AO1113">
        <v>0</v>
      </c>
      <c r="AP1113">
        <v>0</v>
      </c>
      <c r="AQ1113">
        <v>60.62</v>
      </c>
      <c r="AR1113">
        <v>0</v>
      </c>
      <c r="AS1113">
        <v>0</v>
      </c>
      <c r="AT1113">
        <v>0</v>
      </c>
      <c r="AU1113">
        <v>0</v>
      </c>
      <c r="AV1113">
        <v>0</v>
      </c>
      <c r="AW1113">
        <v>0</v>
      </c>
      <c r="AX1113">
        <v>0</v>
      </c>
      <c r="AY1113">
        <v>0</v>
      </c>
      <c r="AZ1113">
        <v>0</v>
      </c>
      <c r="BA1113">
        <v>0</v>
      </c>
      <c r="BB1113">
        <v>0</v>
      </c>
      <c r="BC1113">
        <v>0</v>
      </c>
      <c r="BD1113">
        <v>0</v>
      </c>
      <c r="BE1113">
        <v>0</v>
      </c>
      <c r="BF1113">
        <v>0</v>
      </c>
      <c r="BG1113">
        <v>0</v>
      </c>
      <c r="BH1113">
        <v>1</v>
      </c>
      <c r="BI1113">
        <v>2</v>
      </c>
      <c r="BJ1113">
        <v>2.2999999999999998</v>
      </c>
      <c r="BK1113">
        <v>2.5</v>
      </c>
      <c r="BL1113">
        <v>180.66</v>
      </c>
      <c r="BM1113">
        <v>27.1</v>
      </c>
      <c r="BN1113">
        <v>207.76</v>
      </c>
      <c r="BO1113">
        <v>207.76</v>
      </c>
      <c r="BQ1113" t="s">
        <v>537</v>
      </c>
      <c r="BR1113" t="s">
        <v>82</v>
      </c>
      <c r="BS1113" s="3">
        <v>46000</v>
      </c>
      <c r="BT1113" s="4">
        <v>0.4861111111111111</v>
      </c>
      <c r="BU1113" t="s">
        <v>1857</v>
      </c>
      <c r="BV1113" t="s">
        <v>84</v>
      </c>
      <c r="BY1113">
        <v>11368</v>
      </c>
      <c r="CA1113" t="s">
        <v>539</v>
      </c>
      <c r="CC1113" t="s">
        <v>535</v>
      </c>
      <c r="CD1113">
        <v>7646</v>
      </c>
      <c r="CE1113" t="s">
        <v>93</v>
      </c>
      <c r="CF1113" s="3">
        <v>46001</v>
      </c>
      <c r="CI1113">
        <v>1</v>
      </c>
      <c r="CJ1113">
        <v>1</v>
      </c>
      <c r="CK1113">
        <v>23</v>
      </c>
      <c r="CL1113" t="s">
        <v>87</v>
      </c>
    </row>
    <row r="1114" spans="1:90" x14ac:dyDescent="0.3">
      <c r="A1114" t="s">
        <v>72</v>
      </c>
      <c r="B1114" t="s">
        <v>73</v>
      </c>
      <c r="C1114" t="s">
        <v>74</v>
      </c>
      <c r="E1114" t="str">
        <f>"080069760519"</f>
        <v>080069760519</v>
      </c>
      <c r="F1114" s="3">
        <v>45999</v>
      </c>
      <c r="G1114">
        <v>202609</v>
      </c>
      <c r="H1114" t="s">
        <v>75</v>
      </c>
      <c r="I1114" t="s">
        <v>76</v>
      </c>
      <c r="J1114" t="s">
        <v>77</v>
      </c>
      <c r="K1114" t="s">
        <v>78</v>
      </c>
      <c r="L1114" t="s">
        <v>94</v>
      </c>
      <c r="M1114" t="s">
        <v>95</v>
      </c>
      <c r="N1114" t="s">
        <v>230</v>
      </c>
      <c r="O1114" t="s">
        <v>89</v>
      </c>
      <c r="P1114" t="str">
        <f>"4170072483                    "</f>
        <v xml:space="preserve">4170072483                    </v>
      </c>
      <c r="Q1114">
        <v>0</v>
      </c>
      <c r="R1114">
        <v>0</v>
      </c>
      <c r="S1114">
        <v>0</v>
      </c>
      <c r="T1114">
        <v>0</v>
      </c>
      <c r="U1114">
        <v>0</v>
      </c>
      <c r="V1114">
        <v>0</v>
      </c>
      <c r="W1114">
        <v>0</v>
      </c>
      <c r="X1114">
        <v>0</v>
      </c>
      <c r="Y1114">
        <v>0</v>
      </c>
      <c r="Z1114">
        <v>0</v>
      </c>
      <c r="AA1114">
        <v>0</v>
      </c>
      <c r="AB1114">
        <v>0</v>
      </c>
      <c r="AC1114">
        <v>0</v>
      </c>
      <c r="AD1114">
        <v>0</v>
      </c>
      <c r="AE1114">
        <v>0</v>
      </c>
      <c r="AF1114">
        <v>0</v>
      </c>
      <c r="AG1114">
        <v>0</v>
      </c>
      <c r="AH1114">
        <v>0</v>
      </c>
      <c r="AI1114">
        <v>0</v>
      </c>
      <c r="AJ1114">
        <v>0</v>
      </c>
      <c r="AK1114">
        <v>0</v>
      </c>
      <c r="AL1114">
        <v>0</v>
      </c>
      <c r="AM1114">
        <v>0</v>
      </c>
      <c r="AN1114">
        <v>0</v>
      </c>
      <c r="AO1114">
        <v>0</v>
      </c>
      <c r="AP1114">
        <v>0</v>
      </c>
      <c r="AQ1114">
        <v>25.52</v>
      </c>
      <c r="AR1114">
        <v>0</v>
      </c>
      <c r="AS1114">
        <v>0</v>
      </c>
      <c r="AT1114">
        <v>0</v>
      </c>
      <c r="AU1114">
        <v>0</v>
      </c>
      <c r="AV1114">
        <v>0</v>
      </c>
      <c r="AW1114">
        <v>0</v>
      </c>
      <c r="AX1114">
        <v>0</v>
      </c>
      <c r="AY1114">
        <v>0</v>
      </c>
      <c r="AZ1114">
        <v>0</v>
      </c>
      <c r="BA1114">
        <v>0</v>
      </c>
      <c r="BB1114">
        <v>0</v>
      </c>
      <c r="BC1114">
        <v>0</v>
      </c>
      <c r="BD1114">
        <v>0</v>
      </c>
      <c r="BE1114">
        <v>0</v>
      </c>
      <c r="BF1114">
        <v>0</v>
      </c>
      <c r="BG1114">
        <v>0</v>
      </c>
      <c r="BH1114">
        <v>1</v>
      </c>
      <c r="BI1114">
        <v>1</v>
      </c>
      <c r="BJ1114">
        <v>0.2</v>
      </c>
      <c r="BK1114">
        <v>1</v>
      </c>
      <c r="BL1114">
        <v>76.06</v>
      </c>
      <c r="BM1114">
        <v>11.41</v>
      </c>
      <c r="BN1114">
        <v>87.47</v>
      </c>
      <c r="BO1114">
        <v>87.47</v>
      </c>
      <c r="BQ1114" t="s">
        <v>231</v>
      </c>
      <c r="BR1114" t="s">
        <v>82</v>
      </c>
      <c r="BS1114" s="3">
        <v>46000</v>
      </c>
      <c r="BT1114" s="4">
        <v>0.39652777777777776</v>
      </c>
      <c r="BU1114" t="s">
        <v>1818</v>
      </c>
      <c r="BV1114" t="s">
        <v>84</v>
      </c>
      <c r="BY1114">
        <v>1200</v>
      </c>
      <c r="CA1114" t="s">
        <v>99</v>
      </c>
      <c r="CC1114" t="s">
        <v>95</v>
      </c>
      <c r="CD1114">
        <v>3608</v>
      </c>
      <c r="CE1114" t="s">
        <v>134</v>
      </c>
      <c r="CF1114" s="3">
        <v>46001</v>
      </c>
      <c r="CI1114">
        <v>1</v>
      </c>
      <c r="CJ1114">
        <v>1</v>
      </c>
      <c r="CK1114">
        <v>21</v>
      </c>
      <c r="CL1114" t="s">
        <v>87</v>
      </c>
    </row>
    <row r="1115" spans="1:90" x14ac:dyDescent="0.3">
      <c r="A1115" t="s">
        <v>72</v>
      </c>
      <c r="B1115" t="s">
        <v>73</v>
      </c>
      <c r="C1115" t="s">
        <v>74</v>
      </c>
      <c r="E1115" t="str">
        <f>"080069760552"</f>
        <v>080069760552</v>
      </c>
      <c r="F1115" s="3">
        <v>45999</v>
      </c>
      <c r="G1115">
        <v>202609</v>
      </c>
      <c r="H1115" t="s">
        <v>75</v>
      </c>
      <c r="I1115" t="s">
        <v>76</v>
      </c>
      <c r="J1115" t="s">
        <v>77</v>
      </c>
      <c r="K1115" t="s">
        <v>78</v>
      </c>
      <c r="L1115" t="s">
        <v>176</v>
      </c>
      <c r="M1115" t="s">
        <v>177</v>
      </c>
      <c r="N1115" t="s">
        <v>178</v>
      </c>
      <c r="O1115" t="s">
        <v>89</v>
      </c>
      <c r="P1115" t="str">
        <f>"4170072371                    "</f>
        <v xml:space="preserve">4170072371                    </v>
      </c>
      <c r="Q1115">
        <v>0</v>
      </c>
      <c r="R1115">
        <v>0</v>
      </c>
      <c r="S1115">
        <v>0</v>
      </c>
      <c r="T1115">
        <v>0</v>
      </c>
      <c r="U1115">
        <v>0</v>
      </c>
      <c r="V1115">
        <v>0</v>
      </c>
      <c r="W1115">
        <v>0</v>
      </c>
      <c r="X1115">
        <v>0</v>
      </c>
      <c r="Y1115">
        <v>0</v>
      </c>
      <c r="Z1115">
        <v>0</v>
      </c>
      <c r="AA1115">
        <v>0</v>
      </c>
      <c r="AB1115">
        <v>0</v>
      </c>
      <c r="AC1115">
        <v>0</v>
      </c>
      <c r="AD1115">
        <v>0</v>
      </c>
      <c r="AE1115">
        <v>0</v>
      </c>
      <c r="AF1115">
        <v>0</v>
      </c>
      <c r="AG1115">
        <v>0</v>
      </c>
      <c r="AH1115">
        <v>0</v>
      </c>
      <c r="AI1115">
        <v>0</v>
      </c>
      <c r="AJ1115">
        <v>0</v>
      </c>
      <c r="AK1115">
        <v>0</v>
      </c>
      <c r="AL1115">
        <v>0</v>
      </c>
      <c r="AM1115">
        <v>0</v>
      </c>
      <c r="AN1115">
        <v>0</v>
      </c>
      <c r="AO1115">
        <v>0</v>
      </c>
      <c r="AP1115">
        <v>0</v>
      </c>
      <c r="AQ1115">
        <v>19.940000000000001</v>
      </c>
      <c r="AR1115">
        <v>0</v>
      </c>
      <c r="AS1115">
        <v>0</v>
      </c>
      <c r="AT1115">
        <v>0</v>
      </c>
      <c r="AU1115">
        <v>0</v>
      </c>
      <c r="AV1115">
        <v>0</v>
      </c>
      <c r="AW1115">
        <v>0</v>
      </c>
      <c r="AX1115">
        <v>0</v>
      </c>
      <c r="AY1115">
        <v>0</v>
      </c>
      <c r="AZ1115">
        <v>0</v>
      </c>
      <c r="BA1115">
        <v>0</v>
      </c>
      <c r="BB1115">
        <v>0</v>
      </c>
      <c r="BC1115">
        <v>0</v>
      </c>
      <c r="BD1115">
        <v>0</v>
      </c>
      <c r="BE1115">
        <v>0</v>
      </c>
      <c r="BF1115">
        <v>0</v>
      </c>
      <c r="BG1115">
        <v>0</v>
      </c>
      <c r="BH1115">
        <v>1</v>
      </c>
      <c r="BI1115">
        <v>1</v>
      </c>
      <c r="BJ1115">
        <v>0.7</v>
      </c>
      <c r="BK1115">
        <v>1</v>
      </c>
      <c r="BL1115">
        <v>59.42</v>
      </c>
      <c r="BM1115">
        <v>8.91</v>
      </c>
      <c r="BN1115">
        <v>68.33</v>
      </c>
      <c r="BO1115">
        <v>68.33</v>
      </c>
      <c r="BQ1115" t="s">
        <v>179</v>
      </c>
      <c r="BR1115" t="s">
        <v>82</v>
      </c>
      <c r="BS1115" s="3">
        <v>46000</v>
      </c>
      <c r="BT1115" s="4">
        <v>0.41666666666666669</v>
      </c>
      <c r="BU1115" t="s">
        <v>1433</v>
      </c>
      <c r="BV1115" t="s">
        <v>84</v>
      </c>
      <c r="BY1115">
        <v>3306</v>
      </c>
      <c r="CA1115" t="s">
        <v>182</v>
      </c>
      <c r="CC1115" t="s">
        <v>177</v>
      </c>
      <c r="CD1115">
        <v>2094</v>
      </c>
      <c r="CE1115" t="s">
        <v>86</v>
      </c>
      <c r="CF1115" s="3">
        <v>46001</v>
      </c>
      <c r="CI1115">
        <v>1</v>
      </c>
      <c r="CJ1115">
        <v>1</v>
      </c>
      <c r="CK1115">
        <v>22</v>
      </c>
      <c r="CL1115" t="s">
        <v>87</v>
      </c>
    </row>
    <row r="1116" spans="1:90" x14ac:dyDescent="0.3">
      <c r="A1116" t="s">
        <v>72</v>
      </c>
      <c r="B1116" t="s">
        <v>73</v>
      </c>
      <c r="C1116" t="s">
        <v>74</v>
      </c>
      <c r="E1116" t="str">
        <f>"080069760550"</f>
        <v>080069760550</v>
      </c>
      <c r="F1116" s="3">
        <v>45999</v>
      </c>
      <c r="G1116">
        <v>202609</v>
      </c>
      <c r="H1116" t="s">
        <v>75</v>
      </c>
      <c r="I1116" t="s">
        <v>76</v>
      </c>
      <c r="J1116" t="s">
        <v>77</v>
      </c>
      <c r="K1116" t="s">
        <v>78</v>
      </c>
      <c r="L1116" t="s">
        <v>374</v>
      </c>
      <c r="M1116" t="s">
        <v>375</v>
      </c>
      <c r="N1116" t="s">
        <v>376</v>
      </c>
      <c r="O1116" t="s">
        <v>89</v>
      </c>
      <c r="P1116" t="str">
        <f>"4170072354                    "</f>
        <v xml:space="preserve">4170072354                    </v>
      </c>
      <c r="Q1116">
        <v>0</v>
      </c>
      <c r="R1116">
        <v>0</v>
      </c>
      <c r="S1116">
        <v>0</v>
      </c>
      <c r="T1116">
        <v>0</v>
      </c>
      <c r="U1116">
        <v>0</v>
      </c>
      <c r="V1116">
        <v>0</v>
      </c>
      <c r="W1116">
        <v>0</v>
      </c>
      <c r="X1116">
        <v>0</v>
      </c>
      <c r="Y1116">
        <v>0</v>
      </c>
      <c r="Z1116">
        <v>0</v>
      </c>
      <c r="AA1116">
        <v>0</v>
      </c>
      <c r="AB1116">
        <v>0</v>
      </c>
      <c r="AC1116">
        <v>0</v>
      </c>
      <c r="AD1116">
        <v>0</v>
      </c>
      <c r="AE1116">
        <v>0</v>
      </c>
      <c r="AF1116">
        <v>0</v>
      </c>
      <c r="AG1116">
        <v>0</v>
      </c>
      <c r="AH1116">
        <v>0</v>
      </c>
      <c r="AI1116">
        <v>0</v>
      </c>
      <c r="AJ1116">
        <v>0</v>
      </c>
      <c r="AK1116">
        <v>0</v>
      </c>
      <c r="AL1116">
        <v>0</v>
      </c>
      <c r="AM1116">
        <v>0</v>
      </c>
      <c r="AN1116">
        <v>0</v>
      </c>
      <c r="AO1116">
        <v>0</v>
      </c>
      <c r="AP1116">
        <v>0</v>
      </c>
      <c r="AQ1116">
        <v>25.52</v>
      </c>
      <c r="AR1116">
        <v>0</v>
      </c>
      <c r="AS1116">
        <v>0</v>
      </c>
      <c r="AT1116">
        <v>0</v>
      </c>
      <c r="AU1116">
        <v>0</v>
      </c>
      <c r="AV1116">
        <v>0</v>
      </c>
      <c r="AW1116">
        <v>0</v>
      </c>
      <c r="AX1116">
        <v>0</v>
      </c>
      <c r="AY1116">
        <v>0</v>
      </c>
      <c r="AZ1116">
        <v>0</v>
      </c>
      <c r="BA1116">
        <v>0</v>
      </c>
      <c r="BB1116">
        <v>0</v>
      </c>
      <c r="BC1116">
        <v>0</v>
      </c>
      <c r="BD1116">
        <v>0</v>
      </c>
      <c r="BE1116">
        <v>0</v>
      </c>
      <c r="BF1116">
        <v>0</v>
      </c>
      <c r="BG1116">
        <v>0</v>
      </c>
      <c r="BH1116">
        <v>1</v>
      </c>
      <c r="BI1116">
        <v>1</v>
      </c>
      <c r="BJ1116">
        <v>0.2</v>
      </c>
      <c r="BK1116">
        <v>1</v>
      </c>
      <c r="BL1116">
        <v>76.06</v>
      </c>
      <c r="BM1116">
        <v>11.41</v>
      </c>
      <c r="BN1116">
        <v>87.47</v>
      </c>
      <c r="BO1116">
        <v>87.47</v>
      </c>
      <c r="BQ1116" t="s">
        <v>377</v>
      </c>
      <c r="BR1116" t="s">
        <v>82</v>
      </c>
      <c r="BS1116" s="3">
        <v>46000</v>
      </c>
      <c r="BT1116" s="4">
        <v>0.41666666666666669</v>
      </c>
      <c r="BU1116" t="s">
        <v>1572</v>
      </c>
      <c r="BV1116" t="s">
        <v>84</v>
      </c>
      <c r="BY1116">
        <v>1200</v>
      </c>
      <c r="CC1116" t="s">
        <v>375</v>
      </c>
      <c r="CD1116">
        <v>7600</v>
      </c>
      <c r="CE1116" t="s">
        <v>134</v>
      </c>
      <c r="CF1116" s="3">
        <v>46002</v>
      </c>
      <c r="CI1116">
        <v>1</v>
      </c>
      <c r="CJ1116">
        <v>1</v>
      </c>
      <c r="CK1116">
        <v>21</v>
      </c>
      <c r="CL1116" t="s">
        <v>87</v>
      </c>
    </row>
    <row r="1117" spans="1:90" x14ac:dyDescent="0.3">
      <c r="A1117" t="s">
        <v>72</v>
      </c>
      <c r="B1117" t="s">
        <v>73</v>
      </c>
      <c r="C1117" t="s">
        <v>74</v>
      </c>
      <c r="E1117" t="str">
        <f>"080069760598"</f>
        <v>080069760598</v>
      </c>
      <c r="F1117" s="3">
        <v>45999</v>
      </c>
      <c r="G1117">
        <v>202609</v>
      </c>
      <c r="H1117" t="s">
        <v>75</v>
      </c>
      <c r="I1117" t="s">
        <v>76</v>
      </c>
      <c r="J1117" t="s">
        <v>77</v>
      </c>
      <c r="K1117" t="s">
        <v>78</v>
      </c>
      <c r="L1117" t="s">
        <v>128</v>
      </c>
      <c r="M1117" t="s">
        <v>129</v>
      </c>
      <c r="N1117" t="s">
        <v>1688</v>
      </c>
      <c r="O1117" t="s">
        <v>89</v>
      </c>
      <c r="P1117" t="str">
        <f>"4170072485                    "</f>
        <v xml:space="preserve">4170072485                    </v>
      </c>
      <c r="Q1117">
        <v>0</v>
      </c>
      <c r="R1117">
        <v>0</v>
      </c>
      <c r="S1117">
        <v>0</v>
      </c>
      <c r="T1117">
        <v>0</v>
      </c>
      <c r="U1117">
        <v>0</v>
      </c>
      <c r="V1117">
        <v>0</v>
      </c>
      <c r="W1117">
        <v>0</v>
      </c>
      <c r="X1117">
        <v>0</v>
      </c>
      <c r="Y1117">
        <v>0</v>
      </c>
      <c r="Z1117">
        <v>0</v>
      </c>
      <c r="AA1117">
        <v>0</v>
      </c>
      <c r="AB1117">
        <v>0</v>
      </c>
      <c r="AC1117">
        <v>0</v>
      </c>
      <c r="AD1117">
        <v>0</v>
      </c>
      <c r="AE1117">
        <v>0</v>
      </c>
      <c r="AF1117">
        <v>0</v>
      </c>
      <c r="AG1117">
        <v>0</v>
      </c>
      <c r="AH1117">
        <v>0</v>
      </c>
      <c r="AI1117">
        <v>0</v>
      </c>
      <c r="AJ1117">
        <v>0</v>
      </c>
      <c r="AK1117">
        <v>0</v>
      </c>
      <c r="AL1117">
        <v>0</v>
      </c>
      <c r="AM1117">
        <v>0</v>
      </c>
      <c r="AN1117">
        <v>0</v>
      </c>
      <c r="AO1117">
        <v>0</v>
      </c>
      <c r="AP1117">
        <v>0</v>
      </c>
      <c r="AQ1117">
        <v>25.52</v>
      </c>
      <c r="AR1117">
        <v>0</v>
      </c>
      <c r="AS1117">
        <v>0</v>
      </c>
      <c r="AT1117">
        <v>0</v>
      </c>
      <c r="AU1117">
        <v>0</v>
      </c>
      <c r="AV1117">
        <v>0</v>
      </c>
      <c r="AW1117">
        <v>0</v>
      </c>
      <c r="AX1117">
        <v>0</v>
      </c>
      <c r="AY1117">
        <v>0</v>
      </c>
      <c r="AZ1117">
        <v>0</v>
      </c>
      <c r="BA1117">
        <v>0</v>
      </c>
      <c r="BB1117">
        <v>0</v>
      </c>
      <c r="BC1117">
        <v>0</v>
      </c>
      <c r="BD1117">
        <v>0</v>
      </c>
      <c r="BE1117">
        <v>0</v>
      </c>
      <c r="BF1117">
        <v>0</v>
      </c>
      <c r="BG1117">
        <v>0</v>
      </c>
      <c r="BH1117">
        <v>1</v>
      </c>
      <c r="BI1117">
        <v>1</v>
      </c>
      <c r="BJ1117">
        <v>0.2</v>
      </c>
      <c r="BK1117">
        <v>1</v>
      </c>
      <c r="BL1117">
        <v>76.06</v>
      </c>
      <c r="BM1117">
        <v>11.41</v>
      </c>
      <c r="BN1117">
        <v>87.47</v>
      </c>
      <c r="BO1117">
        <v>87.47</v>
      </c>
      <c r="BQ1117" t="s">
        <v>1689</v>
      </c>
      <c r="BR1117" t="s">
        <v>82</v>
      </c>
      <c r="BS1117" s="3">
        <v>46001</v>
      </c>
      <c r="BT1117" s="4">
        <v>0.58125000000000004</v>
      </c>
      <c r="BU1117" t="s">
        <v>1690</v>
      </c>
      <c r="BV1117" t="s">
        <v>84</v>
      </c>
      <c r="BY1117">
        <v>1200</v>
      </c>
      <c r="CA1117" t="s">
        <v>133</v>
      </c>
      <c r="CC1117" t="s">
        <v>129</v>
      </c>
      <c r="CD1117">
        <v>5201</v>
      </c>
      <c r="CE1117" t="s">
        <v>134</v>
      </c>
      <c r="CF1117" s="3">
        <v>46002</v>
      </c>
      <c r="CI1117">
        <v>5</v>
      </c>
      <c r="CJ1117">
        <v>2</v>
      </c>
      <c r="CK1117">
        <v>21</v>
      </c>
      <c r="CL1117" t="s">
        <v>87</v>
      </c>
    </row>
    <row r="1118" spans="1:90" x14ac:dyDescent="0.3">
      <c r="A1118" t="s">
        <v>72</v>
      </c>
      <c r="B1118" t="s">
        <v>73</v>
      </c>
      <c r="C1118" t="s">
        <v>74</v>
      </c>
      <c r="E1118" t="str">
        <f>"080069760623"</f>
        <v>080069760623</v>
      </c>
      <c r="F1118" s="3">
        <v>45999</v>
      </c>
      <c r="G1118">
        <v>202609</v>
      </c>
      <c r="H1118" t="s">
        <v>75</v>
      </c>
      <c r="I1118" t="s">
        <v>76</v>
      </c>
      <c r="J1118" t="s">
        <v>77</v>
      </c>
      <c r="K1118" t="s">
        <v>78</v>
      </c>
      <c r="L1118" t="s">
        <v>156</v>
      </c>
      <c r="M1118" t="s">
        <v>157</v>
      </c>
      <c r="N1118" t="s">
        <v>158</v>
      </c>
      <c r="O1118" t="s">
        <v>80</v>
      </c>
      <c r="P1118" t="str">
        <f>"4170072325                    "</f>
        <v xml:space="preserve">4170072325                    </v>
      </c>
      <c r="Q1118">
        <v>0</v>
      </c>
      <c r="R1118">
        <v>0</v>
      </c>
      <c r="S1118">
        <v>0</v>
      </c>
      <c r="T1118">
        <v>0</v>
      </c>
      <c r="U1118">
        <v>0</v>
      </c>
      <c r="V1118">
        <v>0</v>
      </c>
      <c r="W1118">
        <v>0</v>
      </c>
      <c r="X1118">
        <v>0</v>
      </c>
      <c r="Y1118">
        <v>0</v>
      </c>
      <c r="Z1118">
        <v>0</v>
      </c>
      <c r="AA1118">
        <v>0</v>
      </c>
      <c r="AB1118">
        <v>0</v>
      </c>
      <c r="AC1118">
        <v>0</v>
      </c>
      <c r="AD1118">
        <v>0</v>
      </c>
      <c r="AE1118">
        <v>0</v>
      </c>
      <c r="AF1118">
        <v>0</v>
      </c>
      <c r="AG1118">
        <v>0</v>
      </c>
      <c r="AH1118">
        <v>0</v>
      </c>
      <c r="AI1118">
        <v>0</v>
      </c>
      <c r="AJ1118">
        <v>0</v>
      </c>
      <c r="AK1118">
        <v>0</v>
      </c>
      <c r="AL1118">
        <v>0</v>
      </c>
      <c r="AM1118">
        <v>0</v>
      </c>
      <c r="AN1118">
        <v>0</v>
      </c>
      <c r="AO1118">
        <v>0</v>
      </c>
      <c r="AP1118">
        <v>0</v>
      </c>
      <c r="AQ1118">
        <v>110.56</v>
      </c>
      <c r="AR1118">
        <v>0</v>
      </c>
      <c r="AS1118">
        <v>0</v>
      </c>
      <c r="AT1118">
        <v>0</v>
      </c>
      <c r="AU1118">
        <v>0</v>
      </c>
      <c r="AV1118">
        <v>0</v>
      </c>
      <c r="AW1118">
        <v>0</v>
      </c>
      <c r="AX1118">
        <v>0</v>
      </c>
      <c r="AY1118">
        <v>0</v>
      </c>
      <c r="AZ1118">
        <v>0</v>
      </c>
      <c r="BA1118">
        <v>0</v>
      </c>
      <c r="BB1118">
        <v>0</v>
      </c>
      <c r="BC1118">
        <v>0</v>
      </c>
      <c r="BD1118">
        <v>0</v>
      </c>
      <c r="BE1118">
        <v>0</v>
      </c>
      <c r="BF1118">
        <v>0</v>
      </c>
      <c r="BG1118">
        <v>0</v>
      </c>
      <c r="BH1118">
        <v>2</v>
      </c>
      <c r="BI1118">
        <v>45</v>
      </c>
      <c r="BJ1118">
        <v>35.299999999999997</v>
      </c>
      <c r="BK1118">
        <v>45</v>
      </c>
      <c r="BL1118">
        <v>335.6</v>
      </c>
      <c r="BM1118">
        <v>50.34</v>
      </c>
      <c r="BN1118">
        <v>385.94</v>
      </c>
      <c r="BO1118">
        <v>385.94</v>
      </c>
      <c r="BQ1118" t="s">
        <v>159</v>
      </c>
      <c r="BR1118" t="s">
        <v>82</v>
      </c>
      <c r="BS1118" s="3">
        <v>46001</v>
      </c>
      <c r="BT1118" s="4">
        <v>0.43472222222222223</v>
      </c>
      <c r="BU1118" t="s">
        <v>1858</v>
      </c>
      <c r="BV1118" t="s">
        <v>84</v>
      </c>
      <c r="BY1118">
        <v>176640</v>
      </c>
      <c r="CA1118" t="s">
        <v>1217</v>
      </c>
      <c r="CC1118" t="s">
        <v>157</v>
      </c>
      <c r="CD1118">
        <v>7530</v>
      </c>
      <c r="CE1118" t="s">
        <v>86</v>
      </c>
      <c r="CF1118" s="3">
        <v>46002</v>
      </c>
      <c r="CI1118">
        <v>3</v>
      </c>
      <c r="CJ1118">
        <v>2</v>
      </c>
      <c r="CK1118">
        <v>41</v>
      </c>
      <c r="CL1118" t="s">
        <v>87</v>
      </c>
    </row>
    <row r="1119" spans="1:90" x14ac:dyDescent="0.3">
      <c r="A1119" t="s">
        <v>72</v>
      </c>
      <c r="B1119" t="s">
        <v>73</v>
      </c>
      <c r="C1119" t="s">
        <v>74</v>
      </c>
      <c r="E1119" t="str">
        <f>"080069760628"</f>
        <v>080069760628</v>
      </c>
      <c r="F1119" s="3">
        <v>45999</v>
      </c>
      <c r="G1119">
        <v>202609</v>
      </c>
      <c r="H1119" t="s">
        <v>75</v>
      </c>
      <c r="I1119" t="s">
        <v>76</v>
      </c>
      <c r="J1119" t="s">
        <v>77</v>
      </c>
      <c r="K1119" t="s">
        <v>78</v>
      </c>
      <c r="L1119" t="s">
        <v>265</v>
      </c>
      <c r="M1119" t="s">
        <v>266</v>
      </c>
      <c r="N1119" t="s">
        <v>1220</v>
      </c>
      <c r="O1119" t="s">
        <v>89</v>
      </c>
      <c r="P1119" t="str">
        <f>"4170072554                    "</f>
        <v xml:space="preserve">4170072554                    </v>
      </c>
      <c r="Q1119">
        <v>0</v>
      </c>
      <c r="R1119">
        <v>0</v>
      </c>
      <c r="S1119">
        <v>0</v>
      </c>
      <c r="T1119">
        <v>0</v>
      </c>
      <c r="U1119">
        <v>0</v>
      </c>
      <c r="V1119">
        <v>0</v>
      </c>
      <c r="W1119">
        <v>0</v>
      </c>
      <c r="X1119">
        <v>0</v>
      </c>
      <c r="Y1119">
        <v>0</v>
      </c>
      <c r="Z1119">
        <v>0</v>
      </c>
      <c r="AA1119">
        <v>0</v>
      </c>
      <c r="AB1119">
        <v>0</v>
      </c>
      <c r="AC1119">
        <v>0</v>
      </c>
      <c r="AD1119">
        <v>0</v>
      </c>
      <c r="AE1119">
        <v>0</v>
      </c>
      <c r="AF1119">
        <v>0</v>
      </c>
      <c r="AG1119">
        <v>0</v>
      </c>
      <c r="AH1119">
        <v>0</v>
      </c>
      <c r="AI1119">
        <v>0</v>
      </c>
      <c r="AJ1119">
        <v>0</v>
      </c>
      <c r="AK1119">
        <v>0</v>
      </c>
      <c r="AL1119">
        <v>0</v>
      </c>
      <c r="AM1119">
        <v>0</v>
      </c>
      <c r="AN1119">
        <v>0</v>
      </c>
      <c r="AO1119">
        <v>0</v>
      </c>
      <c r="AP1119">
        <v>0</v>
      </c>
      <c r="AQ1119">
        <v>19.940000000000001</v>
      </c>
      <c r="AR1119">
        <v>0</v>
      </c>
      <c r="AS1119">
        <v>0</v>
      </c>
      <c r="AT1119">
        <v>0</v>
      </c>
      <c r="AU1119">
        <v>0</v>
      </c>
      <c r="AV1119">
        <v>0</v>
      </c>
      <c r="AW1119">
        <v>0</v>
      </c>
      <c r="AX1119">
        <v>0</v>
      </c>
      <c r="AY1119">
        <v>0</v>
      </c>
      <c r="AZ1119">
        <v>0</v>
      </c>
      <c r="BA1119">
        <v>0</v>
      </c>
      <c r="BB1119">
        <v>0</v>
      </c>
      <c r="BC1119">
        <v>0</v>
      </c>
      <c r="BD1119">
        <v>0</v>
      </c>
      <c r="BE1119">
        <v>0</v>
      </c>
      <c r="BF1119">
        <v>0</v>
      </c>
      <c r="BG1119">
        <v>0</v>
      </c>
      <c r="BH1119">
        <v>1</v>
      </c>
      <c r="BI1119">
        <v>1</v>
      </c>
      <c r="BJ1119">
        <v>0.2</v>
      </c>
      <c r="BK1119">
        <v>1</v>
      </c>
      <c r="BL1119">
        <v>59.42</v>
      </c>
      <c r="BM1119">
        <v>8.91</v>
      </c>
      <c r="BN1119">
        <v>68.33</v>
      </c>
      <c r="BO1119">
        <v>68.33</v>
      </c>
      <c r="BQ1119" t="s">
        <v>1221</v>
      </c>
      <c r="BR1119" t="s">
        <v>82</v>
      </c>
      <c r="BS1119" s="3">
        <v>46000</v>
      </c>
      <c r="BT1119" s="4">
        <v>0.38958333333333334</v>
      </c>
      <c r="BU1119" t="s">
        <v>1859</v>
      </c>
      <c r="BV1119" t="s">
        <v>84</v>
      </c>
      <c r="BY1119">
        <v>1200</v>
      </c>
      <c r="CA1119" t="s">
        <v>319</v>
      </c>
      <c r="CC1119" t="s">
        <v>266</v>
      </c>
      <c r="CD1119">
        <v>1459</v>
      </c>
      <c r="CE1119" t="s">
        <v>134</v>
      </c>
      <c r="CF1119" s="3">
        <v>46001</v>
      </c>
      <c r="CI1119">
        <v>1</v>
      </c>
      <c r="CJ1119">
        <v>1</v>
      </c>
      <c r="CK1119">
        <v>22</v>
      </c>
      <c r="CL1119" t="s">
        <v>87</v>
      </c>
    </row>
    <row r="1120" spans="1:90" x14ac:dyDescent="0.3">
      <c r="A1120" t="s">
        <v>72</v>
      </c>
      <c r="B1120" t="s">
        <v>73</v>
      </c>
      <c r="C1120" t="s">
        <v>74</v>
      </c>
      <c r="E1120" t="str">
        <f>"080069760653"</f>
        <v>080069760653</v>
      </c>
      <c r="F1120" s="3">
        <v>45999</v>
      </c>
      <c r="G1120">
        <v>202609</v>
      </c>
      <c r="H1120" t="s">
        <v>75</v>
      </c>
      <c r="I1120" t="s">
        <v>76</v>
      </c>
      <c r="J1120" t="s">
        <v>77</v>
      </c>
      <c r="K1120" t="s">
        <v>78</v>
      </c>
      <c r="L1120" t="s">
        <v>943</v>
      </c>
      <c r="M1120" t="s">
        <v>944</v>
      </c>
      <c r="N1120" t="s">
        <v>1253</v>
      </c>
      <c r="O1120" t="s">
        <v>89</v>
      </c>
      <c r="P1120" t="str">
        <f>"4170072539                    "</f>
        <v xml:space="preserve">4170072539                    </v>
      </c>
      <c r="Q1120">
        <v>0</v>
      </c>
      <c r="R1120">
        <v>0</v>
      </c>
      <c r="S1120">
        <v>0</v>
      </c>
      <c r="T1120">
        <v>0</v>
      </c>
      <c r="U1120">
        <v>0</v>
      </c>
      <c r="V1120">
        <v>0</v>
      </c>
      <c r="W1120">
        <v>0</v>
      </c>
      <c r="X1120">
        <v>0</v>
      </c>
      <c r="Y1120">
        <v>0</v>
      </c>
      <c r="Z1120">
        <v>0</v>
      </c>
      <c r="AA1120">
        <v>0</v>
      </c>
      <c r="AB1120">
        <v>0</v>
      </c>
      <c r="AC1120">
        <v>0</v>
      </c>
      <c r="AD1120">
        <v>0</v>
      </c>
      <c r="AE1120">
        <v>0</v>
      </c>
      <c r="AF1120">
        <v>0</v>
      </c>
      <c r="AG1120">
        <v>0</v>
      </c>
      <c r="AH1120">
        <v>0</v>
      </c>
      <c r="AI1120">
        <v>0</v>
      </c>
      <c r="AJ1120">
        <v>0</v>
      </c>
      <c r="AK1120">
        <v>0</v>
      </c>
      <c r="AL1120">
        <v>0</v>
      </c>
      <c r="AM1120">
        <v>0</v>
      </c>
      <c r="AN1120">
        <v>0</v>
      </c>
      <c r="AO1120">
        <v>0</v>
      </c>
      <c r="AP1120">
        <v>0</v>
      </c>
      <c r="AQ1120">
        <v>19.940000000000001</v>
      </c>
      <c r="AR1120">
        <v>0</v>
      </c>
      <c r="AS1120">
        <v>0</v>
      </c>
      <c r="AT1120">
        <v>0</v>
      </c>
      <c r="AU1120">
        <v>0</v>
      </c>
      <c r="AV1120">
        <v>0</v>
      </c>
      <c r="AW1120">
        <v>0</v>
      </c>
      <c r="AX1120">
        <v>0</v>
      </c>
      <c r="AY1120">
        <v>0</v>
      </c>
      <c r="AZ1120">
        <v>0</v>
      </c>
      <c r="BA1120">
        <v>0</v>
      </c>
      <c r="BB1120">
        <v>0</v>
      </c>
      <c r="BC1120">
        <v>0</v>
      </c>
      <c r="BD1120">
        <v>0</v>
      </c>
      <c r="BE1120">
        <v>0</v>
      </c>
      <c r="BF1120">
        <v>0</v>
      </c>
      <c r="BG1120">
        <v>0</v>
      </c>
      <c r="BH1120">
        <v>1</v>
      </c>
      <c r="BI1120">
        <v>1</v>
      </c>
      <c r="BJ1120">
        <v>0.2</v>
      </c>
      <c r="BK1120">
        <v>1</v>
      </c>
      <c r="BL1120">
        <v>59.42</v>
      </c>
      <c r="BM1120">
        <v>8.91</v>
      </c>
      <c r="BN1120">
        <v>68.33</v>
      </c>
      <c r="BO1120">
        <v>68.33</v>
      </c>
      <c r="BQ1120" t="s">
        <v>1254</v>
      </c>
      <c r="BR1120" t="s">
        <v>82</v>
      </c>
      <c r="BS1120" s="3">
        <v>46000</v>
      </c>
      <c r="BT1120" s="4">
        <v>0.41666666666666669</v>
      </c>
      <c r="BU1120" t="s">
        <v>1255</v>
      </c>
      <c r="BV1120" t="s">
        <v>84</v>
      </c>
      <c r="BY1120">
        <v>1200</v>
      </c>
      <c r="CA1120" t="s">
        <v>1256</v>
      </c>
      <c r="CC1120" t="s">
        <v>944</v>
      </c>
      <c r="CD1120">
        <v>1682</v>
      </c>
      <c r="CE1120" t="s">
        <v>134</v>
      </c>
      <c r="CF1120" s="3">
        <v>46001</v>
      </c>
      <c r="CI1120">
        <v>1</v>
      </c>
      <c r="CJ1120">
        <v>1</v>
      </c>
      <c r="CK1120">
        <v>22</v>
      </c>
      <c r="CL1120" t="s">
        <v>87</v>
      </c>
    </row>
    <row r="1121" spans="1:90" x14ac:dyDescent="0.3">
      <c r="A1121" t="s">
        <v>72</v>
      </c>
      <c r="B1121" t="s">
        <v>73</v>
      </c>
      <c r="C1121" t="s">
        <v>74</v>
      </c>
      <c r="E1121" t="str">
        <f>"080069760670"</f>
        <v>080069760670</v>
      </c>
      <c r="F1121" s="3">
        <v>45999</v>
      </c>
      <c r="G1121">
        <v>202609</v>
      </c>
      <c r="H1121" t="s">
        <v>75</v>
      </c>
      <c r="I1121" t="s">
        <v>76</v>
      </c>
      <c r="J1121" t="s">
        <v>77</v>
      </c>
      <c r="K1121" t="s">
        <v>78</v>
      </c>
      <c r="L1121" t="s">
        <v>218</v>
      </c>
      <c r="M1121" t="s">
        <v>219</v>
      </c>
      <c r="N1121" t="s">
        <v>220</v>
      </c>
      <c r="O1121" t="s">
        <v>89</v>
      </c>
      <c r="P1121" t="str">
        <f>"4170072377                    "</f>
        <v xml:space="preserve">4170072377                    </v>
      </c>
      <c r="Q1121">
        <v>0</v>
      </c>
      <c r="R1121">
        <v>0</v>
      </c>
      <c r="S1121">
        <v>0</v>
      </c>
      <c r="T1121">
        <v>0</v>
      </c>
      <c r="U1121">
        <v>0</v>
      </c>
      <c r="V1121">
        <v>0</v>
      </c>
      <c r="W1121">
        <v>0</v>
      </c>
      <c r="X1121">
        <v>0</v>
      </c>
      <c r="Y1121">
        <v>0</v>
      </c>
      <c r="Z1121">
        <v>0</v>
      </c>
      <c r="AA1121">
        <v>0</v>
      </c>
      <c r="AB1121">
        <v>0</v>
      </c>
      <c r="AC1121">
        <v>0</v>
      </c>
      <c r="AD1121">
        <v>0</v>
      </c>
      <c r="AE1121">
        <v>0</v>
      </c>
      <c r="AF1121">
        <v>0</v>
      </c>
      <c r="AG1121">
        <v>0</v>
      </c>
      <c r="AH1121">
        <v>0</v>
      </c>
      <c r="AI1121">
        <v>0</v>
      </c>
      <c r="AJ1121">
        <v>0</v>
      </c>
      <c r="AK1121">
        <v>0</v>
      </c>
      <c r="AL1121">
        <v>0</v>
      </c>
      <c r="AM1121">
        <v>0</v>
      </c>
      <c r="AN1121">
        <v>0</v>
      </c>
      <c r="AO1121">
        <v>0</v>
      </c>
      <c r="AP1121">
        <v>0</v>
      </c>
      <c r="AQ1121">
        <v>49.45</v>
      </c>
      <c r="AR1121">
        <v>0</v>
      </c>
      <c r="AS1121">
        <v>0</v>
      </c>
      <c r="AT1121">
        <v>0</v>
      </c>
      <c r="AU1121">
        <v>0</v>
      </c>
      <c r="AV1121">
        <v>0</v>
      </c>
      <c r="AW1121">
        <v>0</v>
      </c>
      <c r="AX1121">
        <v>0</v>
      </c>
      <c r="AY1121">
        <v>0</v>
      </c>
      <c r="AZ1121">
        <v>0</v>
      </c>
      <c r="BA1121">
        <v>0</v>
      </c>
      <c r="BB1121">
        <v>0</v>
      </c>
      <c r="BC1121">
        <v>0</v>
      </c>
      <c r="BD1121">
        <v>0</v>
      </c>
      <c r="BE1121">
        <v>0</v>
      </c>
      <c r="BF1121">
        <v>0</v>
      </c>
      <c r="BG1121">
        <v>0</v>
      </c>
      <c r="BH1121">
        <v>1</v>
      </c>
      <c r="BI1121">
        <v>1</v>
      </c>
      <c r="BJ1121">
        <v>0.2</v>
      </c>
      <c r="BK1121">
        <v>1</v>
      </c>
      <c r="BL1121">
        <v>147.38</v>
      </c>
      <c r="BM1121">
        <v>22.11</v>
      </c>
      <c r="BN1121">
        <v>169.49</v>
      </c>
      <c r="BO1121">
        <v>169.49</v>
      </c>
      <c r="BQ1121" t="s">
        <v>221</v>
      </c>
      <c r="BR1121" t="s">
        <v>82</v>
      </c>
      <c r="BS1121" s="3">
        <v>46000</v>
      </c>
      <c r="BT1121" s="4">
        <v>0.29166666666666669</v>
      </c>
      <c r="BU1121" t="s">
        <v>222</v>
      </c>
      <c r="BV1121" t="s">
        <v>84</v>
      </c>
      <c r="BY1121">
        <v>1200</v>
      </c>
      <c r="CC1121" t="s">
        <v>219</v>
      </c>
      <c r="CD1121">
        <v>2740</v>
      </c>
      <c r="CE1121" t="s">
        <v>134</v>
      </c>
      <c r="CF1121" s="3">
        <v>46001</v>
      </c>
      <c r="CI1121">
        <v>1</v>
      </c>
      <c r="CJ1121">
        <v>1</v>
      </c>
      <c r="CK1121">
        <v>23</v>
      </c>
      <c r="CL1121" t="s">
        <v>87</v>
      </c>
    </row>
    <row r="1122" spans="1:90" x14ac:dyDescent="0.3">
      <c r="A1122" t="s">
        <v>72</v>
      </c>
      <c r="B1122" t="s">
        <v>73</v>
      </c>
      <c r="C1122" t="s">
        <v>74</v>
      </c>
      <c r="E1122" t="str">
        <f>"080069760690"</f>
        <v>080069760690</v>
      </c>
      <c r="F1122" s="3">
        <v>45999</v>
      </c>
      <c r="G1122">
        <v>202609</v>
      </c>
      <c r="H1122" t="s">
        <v>75</v>
      </c>
      <c r="I1122" t="s">
        <v>76</v>
      </c>
      <c r="J1122" t="s">
        <v>77</v>
      </c>
      <c r="K1122" t="s">
        <v>78</v>
      </c>
      <c r="L1122" t="s">
        <v>75</v>
      </c>
      <c r="M1122" t="s">
        <v>76</v>
      </c>
      <c r="N1122" t="s">
        <v>328</v>
      </c>
      <c r="O1122" t="s">
        <v>89</v>
      </c>
      <c r="P1122" t="str">
        <f>"4170072370                    "</f>
        <v xml:space="preserve">4170072370                    </v>
      </c>
      <c r="Q1122">
        <v>0</v>
      </c>
      <c r="R1122">
        <v>0</v>
      </c>
      <c r="S1122">
        <v>0</v>
      </c>
      <c r="T1122">
        <v>0</v>
      </c>
      <c r="U1122">
        <v>0</v>
      </c>
      <c r="V1122">
        <v>0</v>
      </c>
      <c r="W1122">
        <v>0</v>
      </c>
      <c r="X1122">
        <v>0</v>
      </c>
      <c r="Y1122">
        <v>0</v>
      </c>
      <c r="Z1122">
        <v>0</v>
      </c>
      <c r="AA1122">
        <v>0</v>
      </c>
      <c r="AB1122">
        <v>0</v>
      </c>
      <c r="AC1122">
        <v>0</v>
      </c>
      <c r="AD1122">
        <v>0</v>
      </c>
      <c r="AE1122">
        <v>0</v>
      </c>
      <c r="AF1122">
        <v>0</v>
      </c>
      <c r="AG1122">
        <v>0</v>
      </c>
      <c r="AH1122">
        <v>0</v>
      </c>
      <c r="AI1122">
        <v>0</v>
      </c>
      <c r="AJ1122">
        <v>0</v>
      </c>
      <c r="AK1122">
        <v>0</v>
      </c>
      <c r="AL1122">
        <v>0</v>
      </c>
      <c r="AM1122">
        <v>0</v>
      </c>
      <c r="AN1122">
        <v>0</v>
      </c>
      <c r="AO1122">
        <v>0</v>
      </c>
      <c r="AP1122">
        <v>0</v>
      </c>
      <c r="AQ1122">
        <v>19.940000000000001</v>
      </c>
      <c r="AR1122">
        <v>0</v>
      </c>
      <c r="AS1122">
        <v>0</v>
      </c>
      <c r="AT1122">
        <v>0</v>
      </c>
      <c r="AU1122">
        <v>0</v>
      </c>
      <c r="AV1122">
        <v>0</v>
      </c>
      <c r="AW1122">
        <v>0</v>
      </c>
      <c r="AX1122">
        <v>0</v>
      </c>
      <c r="AY1122">
        <v>0</v>
      </c>
      <c r="AZ1122">
        <v>0</v>
      </c>
      <c r="BA1122">
        <v>0</v>
      </c>
      <c r="BB1122">
        <v>0</v>
      </c>
      <c r="BC1122">
        <v>0</v>
      </c>
      <c r="BD1122">
        <v>0</v>
      </c>
      <c r="BE1122">
        <v>0</v>
      </c>
      <c r="BF1122">
        <v>0</v>
      </c>
      <c r="BG1122">
        <v>0</v>
      </c>
      <c r="BH1122">
        <v>1</v>
      </c>
      <c r="BI1122">
        <v>1</v>
      </c>
      <c r="BJ1122">
        <v>0.2</v>
      </c>
      <c r="BK1122">
        <v>1</v>
      </c>
      <c r="BL1122">
        <v>59.42</v>
      </c>
      <c r="BM1122">
        <v>8.91</v>
      </c>
      <c r="BN1122">
        <v>68.33</v>
      </c>
      <c r="BO1122">
        <v>68.33</v>
      </c>
      <c r="BQ1122" t="s">
        <v>329</v>
      </c>
      <c r="BR1122" t="s">
        <v>82</v>
      </c>
      <c r="BS1122" s="3">
        <v>46000</v>
      </c>
      <c r="BT1122" s="4">
        <v>0.45</v>
      </c>
      <c r="BU1122" t="s">
        <v>1647</v>
      </c>
      <c r="BV1122" t="s">
        <v>87</v>
      </c>
      <c r="BY1122">
        <v>1200</v>
      </c>
      <c r="CA1122" t="s">
        <v>331</v>
      </c>
      <c r="CC1122" t="s">
        <v>76</v>
      </c>
      <c r="CD1122">
        <v>1645</v>
      </c>
      <c r="CE1122" t="s">
        <v>134</v>
      </c>
      <c r="CF1122" s="3">
        <v>46000</v>
      </c>
      <c r="CI1122">
        <v>1</v>
      </c>
      <c r="CJ1122">
        <v>1</v>
      </c>
      <c r="CK1122">
        <v>22</v>
      </c>
      <c r="CL1122" t="s">
        <v>87</v>
      </c>
    </row>
    <row r="1123" spans="1:90" x14ac:dyDescent="0.3">
      <c r="A1123" t="s">
        <v>72</v>
      </c>
      <c r="B1123" t="s">
        <v>73</v>
      </c>
      <c r="C1123" t="s">
        <v>74</v>
      </c>
      <c r="E1123" t="str">
        <f>"080069760702"</f>
        <v>080069760702</v>
      </c>
      <c r="F1123" s="3">
        <v>45999</v>
      </c>
      <c r="G1123">
        <v>202609</v>
      </c>
      <c r="H1123" t="s">
        <v>75</v>
      </c>
      <c r="I1123" t="s">
        <v>76</v>
      </c>
      <c r="J1123" t="s">
        <v>77</v>
      </c>
      <c r="K1123" t="s">
        <v>78</v>
      </c>
      <c r="L1123" t="s">
        <v>94</v>
      </c>
      <c r="M1123" t="s">
        <v>95</v>
      </c>
      <c r="N1123" t="s">
        <v>1542</v>
      </c>
      <c r="O1123" t="s">
        <v>89</v>
      </c>
      <c r="P1123" t="str">
        <f>"4170072357                    "</f>
        <v xml:space="preserve">4170072357                    </v>
      </c>
      <c r="Q1123">
        <v>0</v>
      </c>
      <c r="R1123">
        <v>0</v>
      </c>
      <c r="S1123">
        <v>0</v>
      </c>
      <c r="T1123">
        <v>0</v>
      </c>
      <c r="U1123">
        <v>0</v>
      </c>
      <c r="V1123">
        <v>0</v>
      </c>
      <c r="W1123">
        <v>0</v>
      </c>
      <c r="X1123">
        <v>0</v>
      </c>
      <c r="Y1123">
        <v>0</v>
      </c>
      <c r="Z1123">
        <v>0</v>
      </c>
      <c r="AA1123">
        <v>0</v>
      </c>
      <c r="AB1123">
        <v>0</v>
      </c>
      <c r="AC1123">
        <v>0</v>
      </c>
      <c r="AD1123">
        <v>0</v>
      </c>
      <c r="AE1123">
        <v>0</v>
      </c>
      <c r="AF1123">
        <v>0</v>
      </c>
      <c r="AG1123">
        <v>0</v>
      </c>
      <c r="AH1123">
        <v>0</v>
      </c>
      <c r="AI1123">
        <v>0</v>
      </c>
      <c r="AJ1123">
        <v>0</v>
      </c>
      <c r="AK1123">
        <v>0</v>
      </c>
      <c r="AL1123">
        <v>0</v>
      </c>
      <c r="AM1123">
        <v>0</v>
      </c>
      <c r="AN1123">
        <v>0</v>
      </c>
      <c r="AO1123">
        <v>0</v>
      </c>
      <c r="AP1123">
        <v>0</v>
      </c>
      <c r="AQ1123">
        <v>25.52</v>
      </c>
      <c r="AR1123">
        <v>0</v>
      </c>
      <c r="AS1123">
        <v>0</v>
      </c>
      <c r="AT1123">
        <v>0</v>
      </c>
      <c r="AU1123">
        <v>0</v>
      </c>
      <c r="AV1123">
        <v>0</v>
      </c>
      <c r="AW1123">
        <v>0</v>
      </c>
      <c r="AX1123">
        <v>0</v>
      </c>
      <c r="AY1123">
        <v>0</v>
      </c>
      <c r="AZ1123">
        <v>0</v>
      </c>
      <c r="BA1123">
        <v>0</v>
      </c>
      <c r="BB1123">
        <v>0</v>
      </c>
      <c r="BC1123">
        <v>0</v>
      </c>
      <c r="BD1123">
        <v>0</v>
      </c>
      <c r="BE1123">
        <v>0</v>
      </c>
      <c r="BF1123">
        <v>0</v>
      </c>
      <c r="BG1123">
        <v>0</v>
      </c>
      <c r="BH1123">
        <v>1</v>
      </c>
      <c r="BI1123">
        <v>1</v>
      </c>
      <c r="BJ1123">
        <v>0.2</v>
      </c>
      <c r="BK1123">
        <v>1</v>
      </c>
      <c r="BL1123">
        <v>76.06</v>
      </c>
      <c r="BM1123">
        <v>11.41</v>
      </c>
      <c r="BN1123">
        <v>87.47</v>
      </c>
      <c r="BO1123">
        <v>87.47</v>
      </c>
      <c r="BQ1123" t="s">
        <v>1543</v>
      </c>
      <c r="BR1123" t="s">
        <v>82</v>
      </c>
      <c r="BS1123" s="3">
        <v>46000</v>
      </c>
      <c r="BT1123" s="4">
        <v>0.39861111111111114</v>
      </c>
      <c r="BU1123" t="s">
        <v>1860</v>
      </c>
      <c r="BV1123" t="s">
        <v>84</v>
      </c>
      <c r="BY1123">
        <v>1200</v>
      </c>
      <c r="CA1123" t="s">
        <v>929</v>
      </c>
      <c r="CC1123" t="s">
        <v>95</v>
      </c>
      <c r="CD1123">
        <v>3610</v>
      </c>
      <c r="CE1123" t="s">
        <v>134</v>
      </c>
      <c r="CF1123" s="3">
        <v>46000</v>
      </c>
      <c r="CI1123">
        <v>1</v>
      </c>
      <c r="CJ1123">
        <v>1</v>
      </c>
      <c r="CK1123">
        <v>21</v>
      </c>
      <c r="CL1123" t="s">
        <v>87</v>
      </c>
    </row>
    <row r="1124" spans="1:90" x14ac:dyDescent="0.3">
      <c r="A1124" t="s">
        <v>72</v>
      </c>
      <c r="B1124" t="s">
        <v>73</v>
      </c>
      <c r="C1124" t="s">
        <v>74</v>
      </c>
      <c r="E1124" t="str">
        <f>"080069760753"</f>
        <v>080069760753</v>
      </c>
      <c r="F1124" s="3">
        <v>45999</v>
      </c>
      <c r="G1124">
        <v>202609</v>
      </c>
      <c r="H1124" t="s">
        <v>75</v>
      </c>
      <c r="I1124" t="s">
        <v>76</v>
      </c>
      <c r="J1124" t="s">
        <v>77</v>
      </c>
      <c r="K1124" t="s">
        <v>78</v>
      </c>
      <c r="L1124" t="s">
        <v>156</v>
      </c>
      <c r="M1124" t="s">
        <v>157</v>
      </c>
      <c r="N1124" t="s">
        <v>261</v>
      </c>
      <c r="O1124" t="s">
        <v>89</v>
      </c>
      <c r="P1124" t="str">
        <f>"4170072558                    "</f>
        <v xml:space="preserve">4170072558                    </v>
      </c>
      <c r="Q1124">
        <v>0</v>
      </c>
      <c r="R1124">
        <v>0</v>
      </c>
      <c r="S1124">
        <v>0</v>
      </c>
      <c r="T1124">
        <v>0</v>
      </c>
      <c r="U1124">
        <v>0</v>
      </c>
      <c r="V1124">
        <v>0</v>
      </c>
      <c r="W1124">
        <v>0</v>
      </c>
      <c r="X1124">
        <v>0</v>
      </c>
      <c r="Y1124">
        <v>0</v>
      </c>
      <c r="Z1124">
        <v>0</v>
      </c>
      <c r="AA1124">
        <v>0</v>
      </c>
      <c r="AB1124">
        <v>0</v>
      </c>
      <c r="AC1124">
        <v>0</v>
      </c>
      <c r="AD1124">
        <v>0</v>
      </c>
      <c r="AE1124">
        <v>0</v>
      </c>
      <c r="AF1124">
        <v>0</v>
      </c>
      <c r="AG1124">
        <v>0</v>
      </c>
      <c r="AH1124">
        <v>0</v>
      </c>
      <c r="AI1124">
        <v>0</v>
      </c>
      <c r="AJ1124">
        <v>0</v>
      </c>
      <c r="AK1124">
        <v>0</v>
      </c>
      <c r="AL1124">
        <v>0</v>
      </c>
      <c r="AM1124">
        <v>0</v>
      </c>
      <c r="AN1124">
        <v>0</v>
      </c>
      <c r="AO1124">
        <v>0</v>
      </c>
      <c r="AP1124">
        <v>0</v>
      </c>
      <c r="AQ1124">
        <v>89.3</v>
      </c>
      <c r="AR1124">
        <v>0</v>
      </c>
      <c r="AS1124">
        <v>0</v>
      </c>
      <c r="AT1124">
        <v>0</v>
      </c>
      <c r="AU1124">
        <v>0</v>
      </c>
      <c r="AV1124">
        <v>0</v>
      </c>
      <c r="AW1124">
        <v>0</v>
      </c>
      <c r="AX1124">
        <v>0</v>
      </c>
      <c r="AY1124">
        <v>0</v>
      </c>
      <c r="AZ1124">
        <v>0</v>
      </c>
      <c r="BA1124">
        <v>0</v>
      </c>
      <c r="BB1124">
        <v>0</v>
      </c>
      <c r="BC1124">
        <v>0</v>
      </c>
      <c r="BD1124">
        <v>0</v>
      </c>
      <c r="BE1124">
        <v>0</v>
      </c>
      <c r="BF1124">
        <v>0</v>
      </c>
      <c r="BG1124">
        <v>0</v>
      </c>
      <c r="BH1124">
        <v>1</v>
      </c>
      <c r="BI1124">
        <v>7</v>
      </c>
      <c r="BJ1124">
        <v>3.4</v>
      </c>
      <c r="BK1124">
        <v>7</v>
      </c>
      <c r="BL1124">
        <v>266.14</v>
      </c>
      <c r="BM1124">
        <v>39.92</v>
      </c>
      <c r="BN1124">
        <v>306.06</v>
      </c>
      <c r="BO1124">
        <v>306.06</v>
      </c>
      <c r="BQ1124" t="s">
        <v>262</v>
      </c>
      <c r="BR1124" t="s">
        <v>82</v>
      </c>
      <c r="BS1124" s="3">
        <v>46000</v>
      </c>
      <c r="BT1124" s="4">
        <v>0.40069444444444446</v>
      </c>
      <c r="BU1124" t="s">
        <v>1130</v>
      </c>
      <c r="BV1124" t="s">
        <v>84</v>
      </c>
      <c r="BY1124">
        <v>16965</v>
      </c>
      <c r="CA1124" t="s">
        <v>264</v>
      </c>
      <c r="CC1124" t="s">
        <v>157</v>
      </c>
      <c r="CD1124">
        <v>7441</v>
      </c>
      <c r="CE1124" t="s">
        <v>86</v>
      </c>
      <c r="CF1124" s="3">
        <v>46001</v>
      </c>
      <c r="CI1124">
        <v>1</v>
      </c>
      <c r="CJ1124">
        <v>1</v>
      </c>
      <c r="CK1124">
        <v>21</v>
      </c>
      <c r="CL1124" t="s">
        <v>87</v>
      </c>
    </row>
    <row r="1125" spans="1:90" x14ac:dyDescent="0.3">
      <c r="A1125" t="s">
        <v>72</v>
      </c>
      <c r="B1125" t="s">
        <v>73</v>
      </c>
      <c r="C1125" t="s">
        <v>74</v>
      </c>
      <c r="E1125" t="str">
        <f>"080069760810"</f>
        <v>080069760810</v>
      </c>
      <c r="F1125" s="3">
        <v>45999</v>
      </c>
      <c r="G1125">
        <v>202609</v>
      </c>
      <c r="H1125" t="s">
        <v>75</v>
      </c>
      <c r="I1125" t="s">
        <v>76</v>
      </c>
      <c r="J1125" t="s">
        <v>77</v>
      </c>
      <c r="K1125" t="s">
        <v>78</v>
      </c>
      <c r="L1125" t="s">
        <v>1181</v>
      </c>
      <c r="M1125" t="s">
        <v>1182</v>
      </c>
      <c r="N1125" t="s">
        <v>1183</v>
      </c>
      <c r="O1125" t="s">
        <v>89</v>
      </c>
      <c r="P1125" t="str">
        <f>"4170072404                    "</f>
        <v xml:space="preserve">4170072404                    </v>
      </c>
      <c r="Q1125">
        <v>0</v>
      </c>
      <c r="R1125">
        <v>0</v>
      </c>
      <c r="S1125">
        <v>0</v>
      </c>
      <c r="T1125">
        <v>0</v>
      </c>
      <c r="U1125">
        <v>0</v>
      </c>
      <c r="V1125">
        <v>0</v>
      </c>
      <c r="W1125">
        <v>0</v>
      </c>
      <c r="X1125">
        <v>0</v>
      </c>
      <c r="Y1125">
        <v>0</v>
      </c>
      <c r="Z1125">
        <v>0</v>
      </c>
      <c r="AA1125">
        <v>0</v>
      </c>
      <c r="AB1125">
        <v>0</v>
      </c>
      <c r="AC1125">
        <v>0</v>
      </c>
      <c r="AD1125">
        <v>0</v>
      </c>
      <c r="AE1125">
        <v>0</v>
      </c>
      <c r="AF1125">
        <v>0</v>
      </c>
      <c r="AG1125">
        <v>0</v>
      </c>
      <c r="AH1125">
        <v>0</v>
      </c>
      <c r="AI1125">
        <v>0</v>
      </c>
      <c r="AJ1125">
        <v>0</v>
      </c>
      <c r="AK1125">
        <v>0</v>
      </c>
      <c r="AL1125">
        <v>0</v>
      </c>
      <c r="AM1125">
        <v>0</v>
      </c>
      <c r="AN1125">
        <v>0</v>
      </c>
      <c r="AO1125">
        <v>0</v>
      </c>
      <c r="AP1125">
        <v>0</v>
      </c>
      <c r="AQ1125">
        <v>49.45</v>
      </c>
      <c r="AR1125">
        <v>0</v>
      </c>
      <c r="AS1125">
        <v>0</v>
      </c>
      <c r="AT1125">
        <v>0</v>
      </c>
      <c r="AU1125">
        <v>0</v>
      </c>
      <c r="AV1125">
        <v>0</v>
      </c>
      <c r="AW1125">
        <v>0</v>
      </c>
      <c r="AX1125">
        <v>0</v>
      </c>
      <c r="AY1125">
        <v>0</v>
      </c>
      <c r="AZ1125">
        <v>0</v>
      </c>
      <c r="BA1125">
        <v>0</v>
      </c>
      <c r="BB1125">
        <v>0</v>
      </c>
      <c r="BC1125">
        <v>0</v>
      </c>
      <c r="BD1125">
        <v>0</v>
      </c>
      <c r="BE1125">
        <v>0</v>
      </c>
      <c r="BF1125">
        <v>0</v>
      </c>
      <c r="BG1125">
        <v>0</v>
      </c>
      <c r="BH1125">
        <v>1</v>
      </c>
      <c r="BI1125">
        <v>1</v>
      </c>
      <c r="BJ1125">
        <v>0.2</v>
      </c>
      <c r="BK1125">
        <v>1</v>
      </c>
      <c r="BL1125">
        <v>147.38</v>
      </c>
      <c r="BM1125">
        <v>22.11</v>
      </c>
      <c r="BN1125">
        <v>169.49</v>
      </c>
      <c r="BO1125">
        <v>169.49</v>
      </c>
      <c r="BQ1125" t="s">
        <v>1184</v>
      </c>
      <c r="BR1125" t="s">
        <v>82</v>
      </c>
      <c r="BS1125" s="3">
        <v>46001</v>
      </c>
      <c r="BT1125" s="4">
        <v>0.57777777777777772</v>
      </c>
      <c r="BU1125" t="s">
        <v>1861</v>
      </c>
      <c r="BV1125" t="s">
        <v>87</v>
      </c>
      <c r="BY1125">
        <v>1200</v>
      </c>
      <c r="CA1125" t="s">
        <v>1187</v>
      </c>
      <c r="CC1125" t="s">
        <v>1182</v>
      </c>
      <c r="CD1125">
        <v>2309</v>
      </c>
      <c r="CE1125" t="s">
        <v>134</v>
      </c>
      <c r="CF1125" s="3">
        <v>46001</v>
      </c>
      <c r="CI1125">
        <v>1</v>
      </c>
      <c r="CJ1125">
        <v>2</v>
      </c>
      <c r="CK1125">
        <v>23</v>
      </c>
      <c r="CL1125" t="s">
        <v>87</v>
      </c>
    </row>
    <row r="1126" spans="1:90" x14ac:dyDescent="0.3">
      <c r="A1126" t="s">
        <v>72</v>
      </c>
      <c r="B1126" t="s">
        <v>73</v>
      </c>
      <c r="C1126" t="s">
        <v>74</v>
      </c>
      <c r="E1126" t="str">
        <f>"080069760836"</f>
        <v>080069760836</v>
      </c>
      <c r="F1126" s="3">
        <v>45999</v>
      </c>
      <c r="G1126">
        <v>202609</v>
      </c>
      <c r="H1126" t="s">
        <v>75</v>
      </c>
      <c r="I1126" t="s">
        <v>76</v>
      </c>
      <c r="J1126" t="s">
        <v>77</v>
      </c>
      <c r="K1126" t="s">
        <v>78</v>
      </c>
      <c r="L1126" t="s">
        <v>458</v>
      </c>
      <c r="M1126" t="s">
        <v>459</v>
      </c>
      <c r="N1126" t="s">
        <v>460</v>
      </c>
      <c r="O1126" t="s">
        <v>89</v>
      </c>
      <c r="P1126" t="str">
        <f>"4170072511                    "</f>
        <v xml:space="preserve">4170072511                    </v>
      </c>
      <c r="Q1126">
        <v>0</v>
      </c>
      <c r="R1126">
        <v>0</v>
      </c>
      <c r="S1126">
        <v>0</v>
      </c>
      <c r="T1126">
        <v>0</v>
      </c>
      <c r="U1126">
        <v>0</v>
      </c>
      <c r="V1126">
        <v>0</v>
      </c>
      <c r="W1126">
        <v>0</v>
      </c>
      <c r="X1126">
        <v>0</v>
      </c>
      <c r="Y1126">
        <v>0</v>
      </c>
      <c r="Z1126">
        <v>0</v>
      </c>
      <c r="AA1126">
        <v>0</v>
      </c>
      <c r="AB1126">
        <v>0</v>
      </c>
      <c r="AC1126">
        <v>0</v>
      </c>
      <c r="AD1126">
        <v>0</v>
      </c>
      <c r="AE1126">
        <v>0</v>
      </c>
      <c r="AF1126">
        <v>0</v>
      </c>
      <c r="AG1126">
        <v>0</v>
      </c>
      <c r="AH1126">
        <v>0</v>
      </c>
      <c r="AI1126">
        <v>0</v>
      </c>
      <c r="AJ1126">
        <v>0</v>
      </c>
      <c r="AK1126">
        <v>0</v>
      </c>
      <c r="AL1126">
        <v>0</v>
      </c>
      <c r="AM1126">
        <v>0</v>
      </c>
      <c r="AN1126">
        <v>0</v>
      </c>
      <c r="AO1126">
        <v>0</v>
      </c>
      <c r="AP1126">
        <v>0</v>
      </c>
      <c r="AQ1126">
        <v>49.45</v>
      </c>
      <c r="AR1126">
        <v>0</v>
      </c>
      <c r="AS1126">
        <v>0</v>
      </c>
      <c r="AT1126">
        <v>0</v>
      </c>
      <c r="AU1126">
        <v>0</v>
      </c>
      <c r="AV1126">
        <v>0</v>
      </c>
      <c r="AW1126">
        <v>0</v>
      </c>
      <c r="AX1126">
        <v>0</v>
      </c>
      <c r="AY1126">
        <v>0</v>
      </c>
      <c r="AZ1126">
        <v>0</v>
      </c>
      <c r="BA1126">
        <v>0</v>
      </c>
      <c r="BB1126">
        <v>0</v>
      </c>
      <c r="BC1126">
        <v>0</v>
      </c>
      <c r="BD1126">
        <v>0</v>
      </c>
      <c r="BE1126">
        <v>0</v>
      </c>
      <c r="BF1126">
        <v>0</v>
      </c>
      <c r="BG1126">
        <v>0</v>
      </c>
      <c r="BH1126">
        <v>1</v>
      </c>
      <c r="BI1126">
        <v>1</v>
      </c>
      <c r="BJ1126">
        <v>0.2</v>
      </c>
      <c r="BK1126">
        <v>1</v>
      </c>
      <c r="BL1126">
        <v>147.38</v>
      </c>
      <c r="BM1126">
        <v>22.11</v>
      </c>
      <c r="BN1126">
        <v>169.49</v>
      </c>
      <c r="BO1126">
        <v>169.49</v>
      </c>
      <c r="BQ1126" t="s">
        <v>461</v>
      </c>
      <c r="BR1126" t="s">
        <v>82</v>
      </c>
      <c r="BS1126" s="3">
        <v>46000</v>
      </c>
      <c r="BT1126" s="4">
        <v>0.49583333333333335</v>
      </c>
      <c r="BU1126" t="s">
        <v>1819</v>
      </c>
      <c r="BV1126" t="s">
        <v>84</v>
      </c>
      <c r="BY1126">
        <v>1200</v>
      </c>
      <c r="CA1126" t="s">
        <v>463</v>
      </c>
      <c r="CC1126" t="s">
        <v>459</v>
      </c>
      <c r="CD1126">
        <v>7130</v>
      </c>
      <c r="CE1126" t="s">
        <v>134</v>
      </c>
      <c r="CF1126" s="3">
        <v>46001</v>
      </c>
      <c r="CI1126">
        <v>1</v>
      </c>
      <c r="CJ1126">
        <v>1</v>
      </c>
      <c r="CK1126">
        <v>23</v>
      </c>
      <c r="CL1126" t="s">
        <v>87</v>
      </c>
    </row>
    <row r="1127" spans="1:90" x14ac:dyDescent="0.3">
      <c r="A1127" t="s">
        <v>72</v>
      </c>
      <c r="B1127" t="s">
        <v>73</v>
      </c>
      <c r="C1127" t="s">
        <v>74</v>
      </c>
      <c r="E1127" t="str">
        <f>"080069760856"</f>
        <v>080069760856</v>
      </c>
      <c r="F1127" s="3">
        <v>45999</v>
      </c>
      <c r="G1127">
        <v>202609</v>
      </c>
      <c r="H1127" t="s">
        <v>75</v>
      </c>
      <c r="I1127" t="s">
        <v>76</v>
      </c>
      <c r="J1127" t="s">
        <v>77</v>
      </c>
      <c r="K1127" t="s">
        <v>78</v>
      </c>
      <c r="L1127" t="s">
        <v>265</v>
      </c>
      <c r="M1127" t="s">
        <v>266</v>
      </c>
      <c r="N1127" t="s">
        <v>320</v>
      </c>
      <c r="O1127" t="s">
        <v>89</v>
      </c>
      <c r="P1127" t="str">
        <f>"4170072376                    "</f>
        <v xml:space="preserve">4170072376                    </v>
      </c>
      <c r="Q1127">
        <v>0</v>
      </c>
      <c r="R1127">
        <v>0</v>
      </c>
      <c r="S1127">
        <v>0</v>
      </c>
      <c r="T1127">
        <v>0</v>
      </c>
      <c r="U1127">
        <v>0</v>
      </c>
      <c r="V1127">
        <v>0</v>
      </c>
      <c r="W1127">
        <v>0</v>
      </c>
      <c r="X1127">
        <v>0</v>
      </c>
      <c r="Y1127">
        <v>0</v>
      </c>
      <c r="Z1127">
        <v>0</v>
      </c>
      <c r="AA1127">
        <v>0</v>
      </c>
      <c r="AB1127">
        <v>0</v>
      </c>
      <c r="AC1127">
        <v>0</v>
      </c>
      <c r="AD1127">
        <v>0</v>
      </c>
      <c r="AE1127">
        <v>0</v>
      </c>
      <c r="AF1127">
        <v>0</v>
      </c>
      <c r="AG1127">
        <v>0</v>
      </c>
      <c r="AH1127">
        <v>0</v>
      </c>
      <c r="AI1127">
        <v>0</v>
      </c>
      <c r="AJ1127">
        <v>0</v>
      </c>
      <c r="AK1127">
        <v>0</v>
      </c>
      <c r="AL1127">
        <v>0</v>
      </c>
      <c r="AM1127">
        <v>0</v>
      </c>
      <c r="AN1127">
        <v>0</v>
      </c>
      <c r="AO1127">
        <v>0</v>
      </c>
      <c r="AP1127">
        <v>0</v>
      </c>
      <c r="AQ1127">
        <v>19.940000000000001</v>
      </c>
      <c r="AR1127">
        <v>0</v>
      </c>
      <c r="AS1127">
        <v>0</v>
      </c>
      <c r="AT1127">
        <v>0</v>
      </c>
      <c r="AU1127">
        <v>0</v>
      </c>
      <c r="AV1127">
        <v>0</v>
      </c>
      <c r="AW1127">
        <v>0</v>
      </c>
      <c r="AX1127">
        <v>0</v>
      </c>
      <c r="AY1127">
        <v>0</v>
      </c>
      <c r="AZ1127">
        <v>0</v>
      </c>
      <c r="BA1127">
        <v>0</v>
      </c>
      <c r="BB1127">
        <v>0</v>
      </c>
      <c r="BC1127">
        <v>0</v>
      </c>
      <c r="BD1127">
        <v>0</v>
      </c>
      <c r="BE1127">
        <v>0</v>
      </c>
      <c r="BF1127">
        <v>0</v>
      </c>
      <c r="BG1127">
        <v>0</v>
      </c>
      <c r="BH1127">
        <v>1</v>
      </c>
      <c r="BI1127">
        <v>1</v>
      </c>
      <c r="BJ1127">
        <v>0.7</v>
      </c>
      <c r="BK1127">
        <v>1</v>
      </c>
      <c r="BL1127">
        <v>59.42</v>
      </c>
      <c r="BM1127">
        <v>8.91</v>
      </c>
      <c r="BN1127">
        <v>68.33</v>
      </c>
      <c r="BO1127">
        <v>68.33</v>
      </c>
      <c r="BQ1127" t="s">
        <v>321</v>
      </c>
      <c r="BR1127" t="s">
        <v>82</v>
      </c>
      <c r="BS1127" s="3">
        <v>46000</v>
      </c>
      <c r="BT1127" s="4">
        <v>0.36944444444444446</v>
      </c>
      <c r="BU1127" t="s">
        <v>1862</v>
      </c>
      <c r="BV1127" t="s">
        <v>84</v>
      </c>
      <c r="BY1127">
        <v>3306</v>
      </c>
      <c r="CA1127" t="s">
        <v>1713</v>
      </c>
      <c r="CC1127" t="s">
        <v>266</v>
      </c>
      <c r="CD1127">
        <v>1459</v>
      </c>
      <c r="CE1127" t="s">
        <v>86</v>
      </c>
      <c r="CF1127" s="3">
        <v>46001</v>
      </c>
      <c r="CI1127">
        <v>1</v>
      </c>
      <c r="CJ1127">
        <v>1</v>
      </c>
      <c r="CK1127">
        <v>22</v>
      </c>
      <c r="CL1127" t="s">
        <v>87</v>
      </c>
    </row>
    <row r="1128" spans="1:90" x14ac:dyDescent="0.3">
      <c r="A1128" t="s">
        <v>72</v>
      </c>
      <c r="B1128" t="s">
        <v>73</v>
      </c>
      <c r="C1128" t="s">
        <v>74</v>
      </c>
      <c r="E1128" t="str">
        <f>"080069760854"</f>
        <v>080069760854</v>
      </c>
      <c r="F1128" s="3">
        <v>45999</v>
      </c>
      <c r="G1128">
        <v>202609</v>
      </c>
      <c r="H1128" t="s">
        <v>75</v>
      </c>
      <c r="I1128" t="s">
        <v>76</v>
      </c>
      <c r="J1128" t="s">
        <v>77</v>
      </c>
      <c r="K1128" t="s">
        <v>78</v>
      </c>
      <c r="L1128" t="s">
        <v>156</v>
      </c>
      <c r="M1128" t="s">
        <v>157</v>
      </c>
      <c r="N1128" t="s">
        <v>261</v>
      </c>
      <c r="O1128" t="s">
        <v>89</v>
      </c>
      <c r="P1128" t="str">
        <f>"4170072521                    "</f>
        <v xml:space="preserve">4170072521                    </v>
      </c>
      <c r="Q1128">
        <v>0</v>
      </c>
      <c r="R1128">
        <v>0</v>
      </c>
      <c r="S1128">
        <v>0</v>
      </c>
      <c r="T1128">
        <v>0</v>
      </c>
      <c r="U1128">
        <v>0</v>
      </c>
      <c r="V1128">
        <v>0</v>
      </c>
      <c r="W1128">
        <v>0</v>
      </c>
      <c r="X1128">
        <v>0</v>
      </c>
      <c r="Y1128">
        <v>0</v>
      </c>
      <c r="Z1128">
        <v>0</v>
      </c>
      <c r="AA1128">
        <v>0</v>
      </c>
      <c r="AB1128">
        <v>0</v>
      </c>
      <c r="AC1128">
        <v>0</v>
      </c>
      <c r="AD1128">
        <v>0</v>
      </c>
      <c r="AE1128">
        <v>0</v>
      </c>
      <c r="AF1128">
        <v>0</v>
      </c>
      <c r="AG1128">
        <v>0</v>
      </c>
      <c r="AH1128">
        <v>0</v>
      </c>
      <c r="AI1128">
        <v>0</v>
      </c>
      <c r="AJ1128">
        <v>0</v>
      </c>
      <c r="AK1128">
        <v>0</v>
      </c>
      <c r="AL1128">
        <v>0</v>
      </c>
      <c r="AM1128">
        <v>0</v>
      </c>
      <c r="AN1128">
        <v>0</v>
      </c>
      <c r="AO1128">
        <v>0</v>
      </c>
      <c r="AP1128">
        <v>0</v>
      </c>
      <c r="AQ1128">
        <v>25.52</v>
      </c>
      <c r="AR1128">
        <v>0</v>
      </c>
      <c r="AS1128">
        <v>0</v>
      </c>
      <c r="AT1128">
        <v>0</v>
      </c>
      <c r="AU1128">
        <v>0</v>
      </c>
      <c r="AV1128">
        <v>0</v>
      </c>
      <c r="AW1128">
        <v>0</v>
      </c>
      <c r="AX1128">
        <v>0</v>
      </c>
      <c r="AY1128">
        <v>0</v>
      </c>
      <c r="AZ1128">
        <v>0</v>
      </c>
      <c r="BA1128">
        <v>0</v>
      </c>
      <c r="BB1128">
        <v>0</v>
      </c>
      <c r="BC1128">
        <v>0</v>
      </c>
      <c r="BD1128">
        <v>0</v>
      </c>
      <c r="BE1128">
        <v>0</v>
      </c>
      <c r="BF1128">
        <v>0</v>
      </c>
      <c r="BG1128">
        <v>0</v>
      </c>
      <c r="BH1128">
        <v>1</v>
      </c>
      <c r="BI1128">
        <v>1</v>
      </c>
      <c r="BJ1128">
        <v>0.2</v>
      </c>
      <c r="BK1128">
        <v>1</v>
      </c>
      <c r="BL1128">
        <v>76.06</v>
      </c>
      <c r="BM1128">
        <v>11.41</v>
      </c>
      <c r="BN1128">
        <v>87.47</v>
      </c>
      <c r="BO1128">
        <v>87.47</v>
      </c>
      <c r="BQ1128" t="s">
        <v>262</v>
      </c>
      <c r="BR1128" t="s">
        <v>82</v>
      </c>
      <c r="BS1128" s="3">
        <v>46000</v>
      </c>
      <c r="BT1128" s="4">
        <v>0.40069444444444446</v>
      </c>
      <c r="BU1128" t="s">
        <v>1130</v>
      </c>
      <c r="BV1128" t="s">
        <v>84</v>
      </c>
      <c r="BY1128">
        <v>1200</v>
      </c>
      <c r="CA1128" t="s">
        <v>264</v>
      </c>
      <c r="CC1128" t="s">
        <v>157</v>
      </c>
      <c r="CD1128">
        <v>7441</v>
      </c>
      <c r="CE1128" t="s">
        <v>134</v>
      </c>
      <c r="CF1128" s="3">
        <v>46001</v>
      </c>
      <c r="CI1128">
        <v>1</v>
      </c>
      <c r="CJ1128">
        <v>1</v>
      </c>
      <c r="CK1128">
        <v>21</v>
      </c>
      <c r="CL1128" t="s">
        <v>87</v>
      </c>
    </row>
    <row r="1129" spans="1:90" x14ac:dyDescent="0.3">
      <c r="A1129" t="s">
        <v>72</v>
      </c>
      <c r="B1129" t="s">
        <v>73</v>
      </c>
      <c r="C1129" t="s">
        <v>74</v>
      </c>
      <c r="E1129" t="str">
        <f>"080069760880"</f>
        <v>080069760880</v>
      </c>
      <c r="F1129" s="3">
        <v>45999</v>
      </c>
      <c r="G1129">
        <v>202609</v>
      </c>
      <c r="H1129" t="s">
        <v>75</v>
      </c>
      <c r="I1129" t="s">
        <v>76</v>
      </c>
      <c r="J1129" t="s">
        <v>77</v>
      </c>
      <c r="K1129" t="s">
        <v>78</v>
      </c>
      <c r="L1129" t="s">
        <v>100</v>
      </c>
      <c r="M1129" t="s">
        <v>101</v>
      </c>
      <c r="N1129" t="s">
        <v>837</v>
      </c>
      <c r="O1129" t="s">
        <v>89</v>
      </c>
      <c r="P1129" t="str">
        <f>"4170072362                    "</f>
        <v xml:space="preserve">4170072362                    </v>
      </c>
      <c r="Q1129">
        <v>0</v>
      </c>
      <c r="R1129">
        <v>0</v>
      </c>
      <c r="S1129">
        <v>0</v>
      </c>
      <c r="T1129">
        <v>0</v>
      </c>
      <c r="U1129">
        <v>0</v>
      </c>
      <c r="V1129">
        <v>0</v>
      </c>
      <c r="W1129">
        <v>0</v>
      </c>
      <c r="X1129">
        <v>0</v>
      </c>
      <c r="Y1129">
        <v>0</v>
      </c>
      <c r="Z1129">
        <v>0</v>
      </c>
      <c r="AA1129">
        <v>0</v>
      </c>
      <c r="AB1129">
        <v>0</v>
      </c>
      <c r="AC1129">
        <v>0</v>
      </c>
      <c r="AD1129">
        <v>0</v>
      </c>
      <c r="AE1129">
        <v>0</v>
      </c>
      <c r="AF1129">
        <v>0</v>
      </c>
      <c r="AG1129">
        <v>0</v>
      </c>
      <c r="AH1129">
        <v>0</v>
      </c>
      <c r="AI1129">
        <v>0</v>
      </c>
      <c r="AJ1129">
        <v>0</v>
      </c>
      <c r="AK1129">
        <v>0</v>
      </c>
      <c r="AL1129">
        <v>0</v>
      </c>
      <c r="AM1129">
        <v>0</v>
      </c>
      <c r="AN1129">
        <v>0</v>
      </c>
      <c r="AO1129">
        <v>0</v>
      </c>
      <c r="AP1129">
        <v>0</v>
      </c>
      <c r="AQ1129">
        <v>25.52</v>
      </c>
      <c r="AR1129">
        <v>0</v>
      </c>
      <c r="AS1129">
        <v>0</v>
      </c>
      <c r="AT1129">
        <v>0</v>
      </c>
      <c r="AU1129">
        <v>0</v>
      </c>
      <c r="AV1129">
        <v>0</v>
      </c>
      <c r="AW1129">
        <v>0</v>
      </c>
      <c r="AX1129">
        <v>0</v>
      </c>
      <c r="AY1129">
        <v>0</v>
      </c>
      <c r="AZ1129">
        <v>0</v>
      </c>
      <c r="BA1129">
        <v>0</v>
      </c>
      <c r="BB1129">
        <v>0</v>
      </c>
      <c r="BC1129">
        <v>0</v>
      </c>
      <c r="BD1129">
        <v>0</v>
      </c>
      <c r="BE1129">
        <v>0</v>
      </c>
      <c r="BF1129">
        <v>0</v>
      </c>
      <c r="BG1129">
        <v>0</v>
      </c>
      <c r="BH1129">
        <v>1</v>
      </c>
      <c r="BI1129">
        <v>1</v>
      </c>
      <c r="BJ1129">
        <v>0.2</v>
      </c>
      <c r="BK1129">
        <v>1</v>
      </c>
      <c r="BL1129">
        <v>76.06</v>
      </c>
      <c r="BM1129">
        <v>11.41</v>
      </c>
      <c r="BN1129">
        <v>87.47</v>
      </c>
      <c r="BO1129">
        <v>87.47</v>
      </c>
      <c r="BQ1129" t="s">
        <v>838</v>
      </c>
      <c r="BR1129" t="s">
        <v>82</v>
      </c>
      <c r="BS1129" s="3">
        <v>46000</v>
      </c>
      <c r="BT1129" s="4">
        <v>0.47986111111111113</v>
      </c>
      <c r="BU1129" t="s">
        <v>1863</v>
      </c>
      <c r="BV1129" t="s">
        <v>87</v>
      </c>
      <c r="BY1129">
        <v>1200</v>
      </c>
      <c r="CA1129" t="s">
        <v>1864</v>
      </c>
      <c r="CC1129" t="s">
        <v>101</v>
      </c>
      <c r="CD1129">
        <v>4080</v>
      </c>
      <c r="CE1129" t="s">
        <v>134</v>
      </c>
      <c r="CF1129" s="3">
        <v>46001</v>
      </c>
      <c r="CI1129">
        <v>1</v>
      </c>
      <c r="CJ1129">
        <v>1</v>
      </c>
      <c r="CK1129">
        <v>21</v>
      </c>
      <c r="CL1129" t="s">
        <v>87</v>
      </c>
    </row>
    <row r="1130" spans="1:90" x14ac:dyDescent="0.3">
      <c r="A1130" t="s">
        <v>72</v>
      </c>
      <c r="B1130" t="s">
        <v>73</v>
      </c>
      <c r="C1130" t="s">
        <v>74</v>
      </c>
      <c r="E1130" t="str">
        <f>"080069760910"</f>
        <v>080069760910</v>
      </c>
      <c r="F1130" s="3">
        <v>45999</v>
      </c>
      <c r="G1130">
        <v>202609</v>
      </c>
      <c r="H1130" t="s">
        <v>75</v>
      </c>
      <c r="I1130" t="s">
        <v>76</v>
      </c>
      <c r="J1130" t="s">
        <v>77</v>
      </c>
      <c r="K1130" t="s">
        <v>78</v>
      </c>
      <c r="L1130" t="s">
        <v>189</v>
      </c>
      <c r="M1130" t="s">
        <v>190</v>
      </c>
      <c r="N1130" t="s">
        <v>191</v>
      </c>
      <c r="O1130" t="s">
        <v>89</v>
      </c>
      <c r="P1130" t="str">
        <f>"4170072515                    "</f>
        <v xml:space="preserve">4170072515                    </v>
      </c>
      <c r="Q1130">
        <v>0</v>
      </c>
      <c r="R1130">
        <v>0</v>
      </c>
      <c r="S1130">
        <v>0</v>
      </c>
      <c r="T1130">
        <v>0</v>
      </c>
      <c r="U1130">
        <v>0</v>
      </c>
      <c r="V1130">
        <v>0</v>
      </c>
      <c r="W1130">
        <v>0</v>
      </c>
      <c r="X1130">
        <v>0</v>
      </c>
      <c r="Y1130">
        <v>0</v>
      </c>
      <c r="Z1130">
        <v>0</v>
      </c>
      <c r="AA1130">
        <v>0</v>
      </c>
      <c r="AB1130">
        <v>0</v>
      </c>
      <c r="AC1130">
        <v>0</v>
      </c>
      <c r="AD1130">
        <v>0</v>
      </c>
      <c r="AE1130">
        <v>0</v>
      </c>
      <c r="AF1130">
        <v>0</v>
      </c>
      <c r="AG1130">
        <v>0</v>
      </c>
      <c r="AH1130">
        <v>0</v>
      </c>
      <c r="AI1130">
        <v>0</v>
      </c>
      <c r="AJ1130">
        <v>0</v>
      </c>
      <c r="AK1130">
        <v>0</v>
      </c>
      <c r="AL1130">
        <v>0</v>
      </c>
      <c r="AM1130">
        <v>0</v>
      </c>
      <c r="AN1130">
        <v>0</v>
      </c>
      <c r="AO1130">
        <v>0</v>
      </c>
      <c r="AP1130">
        <v>0</v>
      </c>
      <c r="AQ1130">
        <v>25.52</v>
      </c>
      <c r="AR1130">
        <v>0</v>
      </c>
      <c r="AS1130">
        <v>0</v>
      </c>
      <c r="AT1130">
        <v>0</v>
      </c>
      <c r="AU1130">
        <v>0</v>
      </c>
      <c r="AV1130">
        <v>0</v>
      </c>
      <c r="AW1130">
        <v>0</v>
      </c>
      <c r="AX1130">
        <v>0</v>
      </c>
      <c r="AY1130">
        <v>0</v>
      </c>
      <c r="AZ1130">
        <v>0</v>
      </c>
      <c r="BA1130">
        <v>0</v>
      </c>
      <c r="BB1130">
        <v>0</v>
      </c>
      <c r="BC1130">
        <v>0</v>
      </c>
      <c r="BD1130">
        <v>0</v>
      </c>
      <c r="BE1130">
        <v>0</v>
      </c>
      <c r="BF1130">
        <v>0</v>
      </c>
      <c r="BG1130">
        <v>0</v>
      </c>
      <c r="BH1130">
        <v>1</v>
      </c>
      <c r="BI1130">
        <v>1</v>
      </c>
      <c r="BJ1130">
        <v>0.2</v>
      </c>
      <c r="BK1130">
        <v>1</v>
      </c>
      <c r="BL1130">
        <v>76.06</v>
      </c>
      <c r="BM1130">
        <v>11.41</v>
      </c>
      <c r="BN1130">
        <v>87.47</v>
      </c>
      <c r="BO1130">
        <v>87.47</v>
      </c>
      <c r="BQ1130" t="s">
        <v>192</v>
      </c>
      <c r="BR1130" t="s">
        <v>82</v>
      </c>
      <c r="BS1130" s="3">
        <v>46000</v>
      </c>
      <c r="BT1130" s="4">
        <v>0.68958333333333333</v>
      </c>
      <c r="BU1130" t="s">
        <v>1840</v>
      </c>
      <c r="BV1130" t="s">
        <v>87</v>
      </c>
      <c r="BY1130">
        <v>1200</v>
      </c>
      <c r="CC1130" t="s">
        <v>190</v>
      </c>
      <c r="CD1130">
        <v>3201</v>
      </c>
      <c r="CE1130" t="s">
        <v>134</v>
      </c>
      <c r="CF1130" s="3">
        <v>46000</v>
      </c>
      <c r="CI1130">
        <v>1</v>
      </c>
      <c r="CJ1130">
        <v>1</v>
      </c>
      <c r="CK1130">
        <v>21</v>
      </c>
      <c r="CL1130" t="s">
        <v>87</v>
      </c>
    </row>
    <row r="1131" spans="1:90" x14ac:dyDescent="0.3">
      <c r="A1131" t="s">
        <v>72</v>
      </c>
      <c r="B1131" t="s">
        <v>73</v>
      </c>
      <c r="C1131" t="s">
        <v>74</v>
      </c>
      <c r="E1131" t="str">
        <f>"080069760951"</f>
        <v>080069760951</v>
      </c>
      <c r="F1131" s="3">
        <v>45999</v>
      </c>
      <c r="G1131">
        <v>202609</v>
      </c>
      <c r="H1131" t="s">
        <v>75</v>
      </c>
      <c r="I1131" t="s">
        <v>76</v>
      </c>
      <c r="J1131" t="s">
        <v>77</v>
      </c>
      <c r="K1131" t="s">
        <v>78</v>
      </c>
      <c r="L1131" t="s">
        <v>295</v>
      </c>
      <c r="M1131" t="s">
        <v>296</v>
      </c>
      <c r="N1131" t="s">
        <v>1865</v>
      </c>
      <c r="O1131" t="s">
        <v>340</v>
      </c>
      <c r="P1131" t="str">
        <f>"4170072461                    "</f>
        <v xml:space="preserve">4170072461                    </v>
      </c>
      <c r="Q1131">
        <v>0</v>
      </c>
      <c r="R1131">
        <v>0</v>
      </c>
      <c r="S1131">
        <v>0</v>
      </c>
      <c r="T1131">
        <v>0</v>
      </c>
      <c r="U1131">
        <v>0</v>
      </c>
      <c r="V1131">
        <v>0</v>
      </c>
      <c r="W1131">
        <v>0</v>
      </c>
      <c r="X1131">
        <v>0</v>
      </c>
      <c r="Y1131">
        <v>0</v>
      </c>
      <c r="Z1131">
        <v>0</v>
      </c>
      <c r="AA1131">
        <v>0</v>
      </c>
      <c r="AB1131">
        <v>0</v>
      </c>
      <c r="AC1131">
        <v>0</v>
      </c>
      <c r="AD1131">
        <v>0</v>
      </c>
      <c r="AE1131">
        <v>0</v>
      </c>
      <c r="AF1131">
        <v>0</v>
      </c>
      <c r="AG1131">
        <v>0</v>
      </c>
      <c r="AH1131">
        <v>0</v>
      </c>
      <c r="AI1131">
        <v>0</v>
      </c>
      <c r="AJ1131">
        <v>0</v>
      </c>
      <c r="AK1131">
        <v>0</v>
      </c>
      <c r="AL1131">
        <v>0</v>
      </c>
      <c r="AM1131">
        <v>0</v>
      </c>
      <c r="AN1131">
        <v>0</v>
      </c>
      <c r="AO1131">
        <v>0</v>
      </c>
      <c r="AP1131">
        <v>0</v>
      </c>
      <c r="AQ1131">
        <v>24.42</v>
      </c>
      <c r="AR1131">
        <v>0</v>
      </c>
      <c r="AS1131">
        <v>0</v>
      </c>
      <c r="AT1131">
        <v>0</v>
      </c>
      <c r="AU1131">
        <v>0</v>
      </c>
      <c r="AV1131">
        <v>0</v>
      </c>
      <c r="AW1131">
        <v>0</v>
      </c>
      <c r="AX1131">
        <v>0</v>
      </c>
      <c r="AY1131">
        <v>0</v>
      </c>
      <c r="AZ1131">
        <v>0</v>
      </c>
      <c r="BA1131">
        <v>0</v>
      </c>
      <c r="BB1131">
        <v>0</v>
      </c>
      <c r="BC1131">
        <v>0</v>
      </c>
      <c r="BD1131">
        <v>0</v>
      </c>
      <c r="BE1131">
        <v>0</v>
      </c>
      <c r="BF1131">
        <v>0</v>
      </c>
      <c r="BG1131">
        <v>0</v>
      </c>
      <c r="BH1131">
        <v>2</v>
      </c>
      <c r="BI1131">
        <v>10</v>
      </c>
      <c r="BJ1131">
        <v>3.5</v>
      </c>
      <c r="BK1131">
        <v>10</v>
      </c>
      <c r="BL1131">
        <v>72.77</v>
      </c>
      <c r="BM1131">
        <v>10.92</v>
      </c>
      <c r="BN1131">
        <v>83.69</v>
      </c>
      <c r="BO1131">
        <v>83.69</v>
      </c>
      <c r="BQ1131" t="s">
        <v>1866</v>
      </c>
      <c r="BR1131" t="s">
        <v>82</v>
      </c>
      <c r="BS1131" s="3">
        <v>46000</v>
      </c>
      <c r="BT1131" s="4">
        <v>0.45694444444444443</v>
      </c>
      <c r="BU1131" t="s">
        <v>1867</v>
      </c>
      <c r="BV1131" t="s">
        <v>84</v>
      </c>
      <c r="BY1131">
        <v>8816</v>
      </c>
      <c r="CA1131" t="s">
        <v>1868</v>
      </c>
      <c r="CC1131" t="s">
        <v>296</v>
      </c>
      <c r="CD1131">
        <v>1500</v>
      </c>
      <c r="CE1131" t="s">
        <v>956</v>
      </c>
      <c r="CF1131" s="3">
        <v>46001</v>
      </c>
      <c r="CI1131">
        <v>1</v>
      </c>
      <c r="CJ1131">
        <v>1</v>
      </c>
      <c r="CK1131">
        <v>32</v>
      </c>
      <c r="CL1131" t="s">
        <v>87</v>
      </c>
    </row>
    <row r="1132" spans="1:90" x14ac:dyDescent="0.3">
      <c r="A1132" t="s">
        <v>72</v>
      </c>
      <c r="B1132" t="s">
        <v>73</v>
      </c>
      <c r="C1132" t="s">
        <v>74</v>
      </c>
      <c r="E1132" t="str">
        <f>"080069760990"</f>
        <v>080069760990</v>
      </c>
      <c r="F1132" s="3">
        <v>45999</v>
      </c>
      <c r="G1132">
        <v>202609</v>
      </c>
      <c r="H1132" t="s">
        <v>75</v>
      </c>
      <c r="I1132" t="s">
        <v>76</v>
      </c>
      <c r="J1132" t="s">
        <v>77</v>
      </c>
      <c r="K1132" t="s">
        <v>78</v>
      </c>
      <c r="L1132" t="s">
        <v>75</v>
      </c>
      <c r="M1132" t="s">
        <v>76</v>
      </c>
      <c r="N1132" t="s">
        <v>494</v>
      </c>
      <c r="O1132" t="s">
        <v>89</v>
      </c>
      <c r="P1132" t="str">
        <f>"4170072365                    "</f>
        <v xml:space="preserve">4170072365                    </v>
      </c>
      <c r="Q1132">
        <v>0</v>
      </c>
      <c r="R1132">
        <v>0</v>
      </c>
      <c r="S1132">
        <v>0</v>
      </c>
      <c r="T1132">
        <v>0</v>
      </c>
      <c r="U1132">
        <v>0</v>
      </c>
      <c r="V1132">
        <v>0</v>
      </c>
      <c r="W1132">
        <v>0</v>
      </c>
      <c r="X1132">
        <v>0</v>
      </c>
      <c r="Y1132">
        <v>0</v>
      </c>
      <c r="Z1132">
        <v>0</v>
      </c>
      <c r="AA1132">
        <v>0</v>
      </c>
      <c r="AB1132">
        <v>0</v>
      </c>
      <c r="AC1132">
        <v>0</v>
      </c>
      <c r="AD1132">
        <v>0</v>
      </c>
      <c r="AE1132">
        <v>0</v>
      </c>
      <c r="AF1132">
        <v>0</v>
      </c>
      <c r="AG1132">
        <v>0</v>
      </c>
      <c r="AH1132">
        <v>0</v>
      </c>
      <c r="AI1132">
        <v>0</v>
      </c>
      <c r="AJ1132">
        <v>0</v>
      </c>
      <c r="AK1132">
        <v>0</v>
      </c>
      <c r="AL1132">
        <v>0</v>
      </c>
      <c r="AM1132">
        <v>0</v>
      </c>
      <c r="AN1132">
        <v>0</v>
      </c>
      <c r="AO1132">
        <v>0</v>
      </c>
      <c r="AP1132">
        <v>0</v>
      </c>
      <c r="AQ1132">
        <v>19.940000000000001</v>
      </c>
      <c r="AR1132">
        <v>0</v>
      </c>
      <c r="AS1132">
        <v>0</v>
      </c>
      <c r="AT1132">
        <v>0</v>
      </c>
      <c r="AU1132">
        <v>0</v>
      </c>
      <c r="AV1132">
        <v>0</v>
      </c>
      <c r="AW1132">
        <v>0</v>
      </c>
      <c r="AX1132">
        <v>0</v>
      </c>
      <c r="AY1132">
        <v>0</v>
      </c>
      <c r="AZ1132">
        <v>0</v>
      </c>
      <c r="BA1132">
        <v>0</v>
      </c>
      <c r="BB1132">
        <v>0</v>
      </c>
      <c r="BC1132">
        <v>0</v>
      </c>
      <c r="BD1132">
        <v>0</v>
      </c>
      <c r="BE1132">
        <v>0</v>
      </c>
      <c r="BF1132">
        <v>0</v>
      </c>
      <c r="BG1132">
        <v>0</v>
      </c>
      <c r="BH1132">
        <v>1</v>
      </c>
      <c r="BI1132">
        <v>1</v>
      </c>
      <c r="BJ1132">
        <v>1.4</v>
      </c>
      <c r="BK1132">
        <v>2</v>
      </c>
      <c r="BL1132">
        <v>59.42</v>
      </c>
      <c r="BM1132">
        <v>8.91</v>
      </c>
      <c r="BN1132">
        <v>68.33</v>
      </c>
      <c r="BO1132">
        <v>68.33</v>
      </c>
      <c r="BQ1132" t="s">
        <v>495</v>
      </c>
      <c r="BR1132" t="s">
        <v>82</v>
      </c>
      <c r="BS1132" s="3">
        <v>46000</v>
      </c>
      <c r="BT1132" s="4">
        <v>0.4375</v>
      </c>
      <c r="BU1132" t="s">
        <v>963</v>
      </c>
      <c r="BV1132" t="s">
        <v>84</v>
      </c>
      <c r="BY1132">
        <v>7000</v>
      </c>
      <c r="CC1132" t="s">
        <v>76</v>
      </c>
      <c r="CD1132">
        <v>1614</v>
      </c>
      <c r="CE1132" t="s">
        <v>86</v>
      </c>
      <c r="CF1132" s="3">
        <v>46001</v>
      </c>
      <c r="CI1132">
        <v>1</v>
      </c>
      <c r="CJ1132">
        <v>1</v>
      </c>
      <c r="CK1132">
        <v>22</v>
      </c>
      <c r="CL1132" t="s">
        <v>87</v>
      </c>
    </row>
    <row r="1133" spans="1:90" x14ac:dyDescent="0.3">
      <c r="A1133" t="s">
        <v>72</v>
      </c>
      <c r="B1133" t="s">
        <v>73</v>
      </c>
      <c r="C1133" t="s">
        <v>74</v>
      </c>
      <c r="E1133" t="str">
        <f>"080069780390"</f>
        <v>080069780390</v>
      </c>
      <c r="F1133" s="3">
        <v>46000</v>
      </c>
      <c r="G1133">
        <v>202609</v>
      </c>
      <c r="H1133" t="s">
        <v>75</v>
      </c>
      <c r="I1133" t="s">
        <v>76</v>
      </c>
      <c r="J1133" t="s">
        <v>77</v>
      </c>
      <c r="K1133" t="s">
        <v>78</v>
      </c>
      <c r="L1133" t="s">
        <v>302</v>
      </c>
      <c r="M1133" t="s">
        <v>303</v>
      </c>
      <c r="N1133" t="s">
        <v>1869</v>
      </c>
      <c r="O1133" t="s">
        <v>80</v>
      </c>
      <c r="P1133" t="str">
        <f>"4170072546                    "</f>
        <v xml:space="preserve">4170072546                    </v>
      </c>
      <c r="Q1133">
        <v>0</v>
      </c>
      <c r="R1133">
        <v>0</v>
      </c>
      <c r="S1133">
        <v>0</v>
      </c>
      <c r="T1133">
        <v>0</v>
      </c>
      <c r="U1133">
        <v>0</v>
      </c>
      <c r="V1133">
        <v>0</v>
      </c>
      <c r="W1133">
        <v>0</v>
      </c>
      <c r="X1133">
        <v>0</v>
      </c>
      <c r="Y1133">
        <v>0</v>
      </c>
      <c r="Z1133">
        <v>0</v>
      </c>
      <c r="AA1133">
        <v>0</v>
      </c>
      <c r="AB1133">
        <v>0</v>
      </c>
      <c r="AC1133">
        <v>0</v>
      </c>
      <c r="AD1133">
        <v>0</v>
      </c>
      <c r="AE1133">
        <v>0</v>
      </c>
      <c r="AF1133">
        <v>0</v>
      </c>
      <c r="AG1133">
        <v>0</v>
      </c>
      <c r="AH1133">
        <v>0</v>
      </c>
      <c r="AI1133">
        <v>0</v>
      </c>
      <c r="AJ1133">
        <v>0</v>
      </c>
      <c r="AK1133">
        <v>0</v>
      </c>
      <c r="AL1133">
        <v>0</v>
      </c>
      <c r="AM1133">
        <v>0</v>
      </c>
      <c r="AN1133">
        <v>0</v>
      </c>
      <c r="AO1133">
        <v>0</v>
      </c>
      <c r="AP1133">
        <v>0</v>
      </c>
      <c r="AQ1133">
        <v>49.36</v>
      </c>
      <c r="AR1133">
        <v>0</v>
      </c>
      <c r="AS1133">
        <v>0</v>
      </c>
      <c r="AT1133">
        <v>0</v>
      </c>
      <c r="AU1133">
        <v>0</v>
      </c>
      <c r="AV1133">
        <v>0</v>
      </c>
      <c r="AW1133">
        <v>0</v>
      </c>
      <c r="AX1133">
        <v>0</v>
      </c>
      <c r="AY1133">
        <v>0</v>
      </c>
      <c r="AZ1133">
        <v>0</v>
      </c>
      <c r="BA1133">
        <v>0</v>
      </c>
      <c r="BB1133">
        <v>0</v>
      </c>
      <c r="BC1133">
        <v>0</v>
      </c>
      <c r="BD1133">
        <v>0</v>
      </c>
      <c r="BE1133">
        <v>0</v>
      </c>
      <c r="BF1133">
        <v>0</v>
      </c>
      <c r="BG1133">
        <v>0</v>
      </c>
      <c r="BH1133">
        <v>1</v>
      </c>
      <c r="BI1133">
        <v>0.2</v>
      </c>
      <c r="BJ1133">
        <v>2.4</v>
      </c>
      <c r="BK1133">
        <v>3</v>
      </c>
      <c r="BL1133">
        <v>153.19999999999999</v>
      </c>
      <c r="BM1133">
        <v>22.98</v>
      </c>
      <c r="BN1133">
        <v>176.18</v>
      </c>
      <c r="BO1133">
        <v>176.18</v>
      </c>
      <c r="BQ1133" t="s">
        <v>1870</v>
      </c>
      <c r="BR1133" t="s">
        <v>82</v>
      </c>
      <c r="BS1133" s="3">
        <v>46001</v>
      </c>
      <c r="BT1133" s="4">
        <v>0.38680555555555557</v>
      </c>
      <c r="BU1133" t="s">
        <v>1871</v>
      </c>
      <c r="BV1133" t="s">
        <v>84</v>
      </c>
      <c r="BY1133">
        <v>12062.4</v>
      </c>
      <c r="CA1133">
        <v>9401036069087</v>
      </c>
      <c r="CC1133" t="s">
        <v>303</v>
      </c>
      <c r="CD1133" s="5" t="s">
        <v>433</v>
      </c>
      <c r="CE1133" t="s">
        <v>93</v>
      </c>
      <c r="CI1133">
        <v>1</v>
      </c>
      <c r="CJ1133">
        <v>1</v>
      </c>
      <c r="CK1133">
        <v>41</v>
      </c>
      <c r="CL1133" t="s">
        <v>87</v>
      </c>
    </row>
    <row r="1134" spans="1:90" x14ac:dyDescent="0.3">
      <c r="A1134" t="s">
        <v>72</v>
      </c>
      <c r="B1134" t="s">
        <v>73</v>
      </c>
      <c r="C1134" t="s">
        <v>74</v>
      </c>
      <c r="E1134" t="str">
        <f>"080069780448"</f>
        <v>080069780448</v>
      </c>
      <c r="F1134" s="3">
        <v>46000</v>
      </c>
      <c r="G1134">
        <v>202609</v>
      </c>
      <c r="H1134" t="s">
        <v>75</v>
      </c>
      <c r="I1134" t="s">
        <v>76</v>
      </c>
      <c r="J1134" t="s">
        <v>77</v>
      </c>
      <c r="K1134" t="s">
        <v>78</v>
      </c>
      <c r="L1134" t="s">
        <v>156</v>
      </c>
      <c r="M1134" t="s">
        <v>157</v>
      </c>
      <c r="N1134" t="s">
        <v>158</v>
      </c>
      <c r="O1134" t="s">
        <v>89</v>
      </c>
      <c r="P1134" t="str">
        <f>"4170072527                    "</f>
        <v xml:space="preserve">4170072527                    </v>
      </c>
      <c r="Q1134">
        <v>0</v>
      </c>
      <c r="R1134">
        <v>0</v>
      </c>
      <c r="S1134">
        <v>0</v>
      </c>
      <c r="T1134">
        <v>0</v>
      </c>
      <c r="U1134">
        <v>0</v>
      </c>
      <c r="V1134">
        <v>0</v>
      </c>
      <c r="W1134">
        <v>0</v>
      </c>
      <c r="X1134">
        <v>0</v>
      </c>
      <c r="Y1134">
        <v>0</v>
      </c>
      <c r="Z1134">
        <v>0</v>
      </c>
      <c r="AA1134">
        <v>0</v>
      </c>
      <c r="AB1134">
        <v>0</v>
      </c>
      <c r="AC1134">
        <v>0</v>
      </c>
      <c r="AD1134">
        <v>0</v>
      </c>
      <c r="AE1134">
        <v>0</v>
      </c>
      <c r="AF1134">
        <v>0</v>
      </c>
      <c r="AG1134">
        <v>0</v>
      </c>
      <c r="AH1134">
        <v>0</v>
      </c>
      <c r="AI1134">
        <v>0</v>
      </c>
      <c r="AJ1134">
        <v>0</v>
      </c>
      <c r="AK1134">
        <v>0</v>
      </c>
      <c r="AL1134">
        <v>0</v>
      </c>
      <c r="AM1134">
        <v>0</v>
      </c>
      <c r="AN1134">
        <v>0</v>
      </c>
      <c r="AO1134">
        <v>0</v>
      </c>
      <c r="AP1134">
        <v>0</v>
      </c>
      <c r="AQ1134">
        <v>76.55</v>
      </c>
      <c r="AR1134">
        <v>0</v>
      </c>
      <c r="AS1134">
        <v>0</v>
      </c>
      <c r="AT1134">
        <v>0</v>
      </c>
      <c r="AU1134">
        <v>0</v>
      </c>
      <c r="AV1134">
        <v>0</v>
      </c>
      <c r="AW1134">
        <v>0</v>
      </c>
      <c r="AX1134">
        <v>0</v>
      </c>
      <c r="AY1134">
        <v>0</v>
      </c>
      <c r="AZ1134">
        <v>0</v>
      </c>
      <c r="BA1134">
        <v>0</v>
      </c>
      <c r="BB1134">
        <v>0</v>
      </c>
      <c r="BC1134">
        <v>0</v>
      </c>
      <c r="BD1134">
        <v>0</v>
      </c>
      <c r="BE1134">
        <v>0</v>
      </c>
      <c r="BF1134">
        <v>0</v>
      </c>
      <c r="BG1134">
        <v>0</v>
      </c>
      <c r="BH1134">
        <v>2</v>
      </c>
      <c r="BI1134">
        <v>1.2</v>
      </c>
      <c r="BJ1134">
        <v>5.7</v>
      </c>
      <c r="BK1134">
        <v>6</v>
      </c>
      <c r="BL1134">
        <v>228.13</v>
      </c>
      <c r="BM1134">
        <v>34.22</v>
      </c>
      <c r="BN1134">
        <v>262.35000000000002</v>
      </c>
      <c r="BO1134">
        <v>262.35000000000002</v>
      </c>
      <c r="BQ1134" t="s">
        <v>159</v>
      </c>
      <c r="BR1134" t="s">
        <v>82</v>
      </c>
      <c r="BS1134" s="3">
        <v>46001</v>
      </c>
      <c r="BT1134" s="4">
        <v>0.43472222222222223</v>
      </c>
      <c r="BU1134" t="s">
        <v>1858</v>
      </c>
      <c r="BV1134" t="s">
        <v>84</v>
      </c>
      <c r="BY1134">
        <v>28633</v>
      </c>
      <c r="CA1134" t="s">
        <v>1217</v>
      </c>
      <c r="CC1134" t="s">
        <v>157</v>
      </c>
      <c r="CD1134">
        <v>7535</v>
      </c>
      <c r="CE1134" t="s">
        <v>86</v>
      </c>
      <c r="CF1134" s="3">
        <v>46002</v>
      </c>
      <c r="CI1134">
        <v>1</v>
      </c>
      <c r="CJ1134">
        <v>1</v>
      </c>
      <c r="CK1134">
        <v>21</v>
      </c>
      <c r="CL1134" t="s">
        <v>87</v>
      </c>
    </row>
    <row r="1135" spans="1:90" x14ac:dyDescent="0.3">
      <c r="A1135" t="s">
        <v>72</v>
      </c>
      <c r="B1135" t="s">
        <v>73</v>
      </c>
      <c r="C1135" t="s">
        <v>74</v>
      </c>
      <c r="E1135" t="str">
        <f>"080069780783"</f>
        <v>080069780783</v>
      </c>
      <c r="F1135" s="3">
        <v>46000</v>
      </c>
      <c r="G1135">
        <v>202609</v>
      </c>
      <c r="H1135" t="s">
        <v>75</v>
      </c>
      <c r="I1135" t="s">
        <v>76</v>
      </c>
      <c r="J1135" t="s">
        <v>77</v>
      </c>
      <c r="K1135" t="s">
        <v>78</v>
      </c>
      <c r="L1135" t="s">
        <v>692</v>
      </c>
      <c r="M1135" t="s">
        <v>693</v>
      </c>
      <c r="N1135" t="s">
        <v>694</v>
      </c>
      <c r="O1135" t="s">
        <v>340</v>
      </c>
      <c r="P1135" t="str">
        <f>"4170072348                    "</f>
        <v xml:space="preserve">4170072348                    </v>
      </c>
      <c r="Q1135">
        <v>0</v>
      </c>
      <c r="R1135">
        <v>0</v>
      </c>
      <c r="S1135">
        <v>0</v>
      </c>
      <c r="T1135">
        <v>0</v>
      </c>
      <c r="U1135">
        <v>0</v>
      </c>
      <c r="V1135">
        <v>0</v>
      </c>
      <c r="W1135">
        <v>0</v>
      </c>
      <c r="X1135">
        <v>0</v>
      </c>
      <c r="Y1135">
        <v>0</v>
      </c>
      <c r="Z1135">
        <v>0</v>
      </c>
      <c r="AA1135">
        <v>0</v>
      </c>
      <c r="AB1135">
        <v>0</v>
      </c>
      <c r="AC1135">
        <v>0</v>
      </c>
      <c r="AD1135">
        <v>0</v>
      </c>
      <c r="AE1135">
        <v>0</v>
      </c>
      <c r="AF1135">
        <v>0</v>
      </c>
      <c r="AG1135">
        <v>0</v>
      </c>
      <c r="AH1135">
        <v>0</v>
      </c>
      <c r="AI1135">
        <v>0</v>
      </c>
      <c r="AJ1135">
        <v>0</v>
      </c>
      <c r="AK1135">
        <v>0</v>
      </c>
      <c r="AL1135">
        <v>0</v>
      </c>
      <c r="AM1135">
        <v>0</v>
      </c>
      <c r="AN1135">
        <v>0</v>
      </c>
      <c r="AO1135">
        <v>0</v>
      </c>
      <c r="AP1135">
        <v>0</v>
      </c>
      <c r="AQ1135">
        <v>35.9</v>
      </c>
      <c r="AR1135">
        <v>0</v>
      </c>
      <c r="AS1135">
        <v>0</v>
      </c>
      <c r="AT1135">
        <v>0</v>
      </c>
      <c r="AU1135">
        <v>0</v>
      </c>
      <c r="AV1135">
        <v>0</v>
      </c>
      <c r="AW1135">
        <v>0</v>
      </c>
      <c r="AX1135">
        <v>0</v>
      </c>
      <c r="AY1135">
        <v>0</v>
      </c>
      <c r="AZ1135">
        <v>0</v>
      </c>
      <c r="BA1135">
        <v>0</v>
      </c>
      <c r="BB1135">
        <v>0</v>
      </c>
      <c r="BC1135">
        <v>0</v>
      </c>
      <c r="BD1135">
        <v>0</v>
      </c>
      <c r="BE1135">
        <v>0</v>
      </c>
      <c r="BF1135">
        <v>0</v>
      </c>
      <c r="BG1135">
        <v>0</v>
      </c>
      <c r="BH1135">
        <v>1</v>
      </c>
      <c r="BI1135">
        <v>1.1000000000000001</v>
      </c>
      <c r="BJ1135">
        <v>1.2</v>
      </c>
      <c r="BK1135">
        <v>1.5</v>
      </c>
      <c r="BL1135">
        <v>106.98</v>
      </c>
      <c r="BM1135">
        <v>16.05</v>
      </c>
      <c r="BN1135">
        <v>123.03</v>
      </c>
      <c r="BO1135">
        <v>123.03</v>
      </c>
      <c r="BQ1135" t="s">
        <v>695</v>
      </c>
      <c r="BR1135" t="s">
        <v>82</v>
      </c>
      <c r="BS1135" s="3">
        <v>46001</v>
      </c>
      <c r="BT1135" s="4">
        <v>0.3125</v>
      </c>
      <c r="BU1135" t="s">
        <v>1742</v>
      </c>
      <c r="BV1135" t="s">
        <v>84</v>
      </c>
      <c r="BY1135">
        <v>6163.7</v>
      </c>
      <c r="CA1135" t="s">
        <v>697</v>
      </c>
      <c r="CC1135" t="s">
        <v>693</v>
      </c>
      <c r="CD1135">
        <v>1759</v>
      </c>
      <c r="CE1135" t="s">
        <v>86</v>
      </c>
      <c r="CF1135" s="3">
        <v>46001</v>
      </c>
      <c r="CI1135">
        <v>1</v>
      </c>
      <c r="CJ1135">
        <v>1</v>
      </c>
      <c r="CK1135">
        <v>34</v>
      </c>
      <c r="CL1135" t="s">
        <v>87</v>
      </c>
    </row>
    <row r="1136" spans="1:90" x14ac:dyDescent="0.3">
      <c r="A1136" t="s">
        <v>72</v>
      </c>
      <c r="B1136" t="s">
        <v>73</v>
      </c>
      <c r="C1136" t="s">
        <v>74</v>
      </c>
      <c r="E1136" t="str">
        <f>"080069780837"</f>
        <v>080069780837</v>
      </c>
      <c r="F1136" s="3">
        <v>46000</v>
      </c>
      <c r="G1136">
        <v>202609</v>
      </c>
      <c r="H1136" t="s">
        <v>75</v>
      </c>
      <c r="I1136" t="s">
        <v>76</v>
      </c>
      <c r="J1136" t="s">
        <v>77</v>
      </c>
      <c r="K1136" t="s">
        <v>78</v>
      </c>
      <c r="L1136" t="s">
        <v>156</v>
      </c>
      <c r="M1136" t="s">
        <v>157</v>
      </c>
      <c r="N1136" t="s">
        <v>158</v>
      </c>
      <c r="O1136" t="s">
        <v>89</v>
      </c>
      <c r="P1136" t="str">
        <f>"4170072532                    "</f>
        <v xml:space="preserve">4170072532                    </v>
      </c>
      <c r="Q1136">
        <v>0</v>
      </c>
      <c r="R1136">
        <v>0</v>
      </c>
      <c r="S1136">
        <v>0</v>
      </c>
      <c r="T1136">
        <v>0</v>
      </c>
      <c r="U1136">
        <v>0</v>
      </c>
      <c r="V1136">
        <v>0</v>
      </c>
      <c r="W1136">
        <v>0</v>
      </c>
      <c r="X1136">
        <v>0</v>
      </c>
      <c r="Y1136">
        <v>0</v>
      </c>
      <c r="Z1136">
        <v>0</v>
      </c>
      <c r="AA1136">
        <v>0</v>
      </c>
      <c r="AB1136">
        <v>0</v>
      </c>
      <c r="AC1136">
        <v>0</v>
      </c>
      <c r="AD1136">
        <v>0</v>
      </c>
      <c r="AE1136">
        <v>0</v>
      </c>
      <c r="AF1136">
        <v>0</v>
      </c>
      <c r="AG1136">
        <v>0</v>
      </c>
      <c r="AH1136">
        <v>0</v>
      </c>
      <c r="AI1136">
        <v>0</v>
      </c>
      <c r="AJ1136">
        <v>0</v>
      </c>
      <c r="AK1136">
        <v>0</v>
      </c>
      <c r="AL1136">
        <v>0</v>
      </c>
      <c r="AM1136">
        <v>0</v>
      </c>
      <c r="AN1136">
        <v>0</v>
      </c>
      <c r="AO1136">
        <v>0</v>
      </c>
      <c r="AP1136">
        <v>0</v>
      </c>
      <c r="AQ1136">
        <v>57.41</v>
      </c>
      <c r="AR1136">
        <v>0</v>
      </c>
      <c r="AS1136">
        <v>0</v>
      </c>
      <c r="AT1136">
        <v>0</v>
      </c>
      <c r="AU1136">
        <v>0</v>
      </c>
      <c r="AV1136">
        <v>0</v>
      </c>
      <c r="AW1136">
        <v>0</v>
      </c>
      <c r="AX1136">
        <v>0</v>
      </c>
      <c r="AY1136">
        <v>0</v>
      </c>
      <c r="AZ1136">
        <v>0</v>
      </c>
      <c r="BA1136">
        <v>0</v>
      </c>
      <c r="BB1136">
        <v>0</v>
      </c>
      <c r="BC1136">
        <v>0</v>
      </c>
      <c r="BD1136">
        <v>0</v>
      </c>
      <c r="BE1136">
        <v>0</v>
      </c>
      <c r="BF1136">
        <v>0</v>
      </c>
      <c r="BG1136">
        <v>0</v>
      </c>
      <c r="BH1136">
        <v>1</v>
      </c>
      <c r="BI1136">
        <v>4</v>
      </c>
      <c r="BJ1136">
        <v>4.2</v>
      </c>
      <c r="BK1136">
        <v>4.5</v>
      </c>
      <c r="BL1136">
        <v>171.1</v>
      </c>
      <c r="BM1136">
        <v>25.67</v>
      </c>
      <c r="BN1136">
        <v>196.77</v>
      </c>
      <c r="BO1136">
        <v>196.77</v>
      </c>
      <c r="BQ1136" t="s">
        <v>159</v>
      </c>
      <c r="BR1136" t="s">
        <v>82</v>
      </c>
      <c r="BS1136" s="3">
        <v>46001</v>
      </c>
      <c r="BT1136" s="4">
        <v>0.43194444444444446</v>
      </c>
      <c r="BU1136" t="s">
        <v>1858</v>
      </c>
      <c r="BV1136" t="s">
        <v>84</v>
      </c>
      <c r="BY1136">
        <v>21014</v>
      </c>
      <c r="CA1136" t="s">
        <v>1217</v>
      </c>
      <c r="CC1136" t="s">
        <v>157</v>
      </c>
      <c r="CD1136">
        <v>7530</v>
      </c>
      <c r="CE1136" t="s">
        <v>93</v>
      </c>
      <c r="CF1136" s="3">
        <v>46002</v>
      </c>
      <c r="CI1136">
        <v>1</v>
      </c>
      <c r="CJ1136">
        <v>1</v>
      </c>
      <c r="CK1136">
        <v>21</v>
      </c>
      <c r="CL1136" t="s">
        <v>87</v>
      </c>
    </row>
    <row r="1137" spans="1:90" x14ac:dyDescent="0.3">
      <c r="A1137" t="s">
        <v>72</v>
      </c>
      <c r="B1137" t="s">
        <v>73</v>
      </c>
      <c r="C1137" t="s">
        <v>74</v>
      </c>
      <c r="E1137" t="str">
        <f>"080069780907"</f>
        <v>080069780907</v>
      </c>
      <c r="F1137" s="3">
        <v>46000</v>
      </c>
      <c r="G1137">
        <v>202609</v>
      </c>
      <c r="H1137" t="s">
        <v>75</v>
      </c>
      <c r="I1137" t="s">
        <v>76</v>
      </c>
      <c r="J1137" t="s">
        <v>77</v>
      </c>
      <c r="K1137" t="s">
        <v>78</v>
      </c>
      <c r="L1137" t="s">
        <v>156</v>
      </c>
      <c r="M1137" t="s">
        <v>157</v>
      </c>
      <c r="N1137" t="s">
        <v>158</v>
      </c>
      <c r="O1137" t="s">
        <v>89</v>
      </c>
      <c r="P1137" t="str">
        <f>"4170072323                    "</f>
        <v xml:space="preserve">4170072323                    </v>
      </c>
      <c r="Q1137">
        <v>0</v>
      </c>
      <c r="R1137">
        <v>0</v>
      </c>
      <c r="S1137">
        <v>0</v>
      </c>
      <c r="T1137">
        <v>0</v>
      </c>
      <c r="U1137">
        <v>0</v>
      </c>
      <c r="V1137">
        <v>0</v>
      </c>
      <c r="W1137">
        <v>0</v>
      </c>
      <c r="X1137">
        <v>0</v>
      </c>
      <c r="Y1137">
        <v>0</v>
      </c>
      <c r="Z1137">
        <v>0</v>
      </c>
      <c r="AA1137">
        <v>0</v>
      </c>
      <c r="AB1137">
        <v>0</v>
      </c>
      <c r="AC1137">
        <v>0</v>
      </c>
      <c r="AD1137">
        <v>0</v>
      </c>
      <c r="AE1137">
        <v>0</v>
      </c>
      <c r="AF1137">
        <v>0</v>
      </c>
      <c r="AG1137">
        <v>0</v>
      </c>
      <c r="AH1137">
        <v>0</v>
      </c>
      <c r="AI1137">
        <v>0</v>
      </c>
      <c r="AJ1137">
        <v>0</v>
      </c>
      <c r="AK1137">
        <v>0</v>
      </c>
      <c r="AL1137">
        <v>0</v>
      </c>
      <c r="AM1137">
        <v>0</v>
      </c>
      <c r="AN1137">
        <v>0</v>
      </c>
      <c r="AO1137">
        <v>0</v>
      </c>
      <c r="AP1137">
        <v>0</v>
      </c>
      <c r="AQ1137">
        <v>76.55</v>
      </c>
      <c r="AR1137">
        <v>0</v>
      </c>
      <c r="AS1137">
        <v>0</v>
      </c>
      <c r="AT1137">
        <v>0</v>
      </c>
      <c r="AU1137">
        <v>0</v>
      </c>
      <c r="AV1137">
        <v>0</v>
      </c>
      <c r="AW1137">
        <v>0</v>
      </c>
      <c r="AX1137">
        <v>0</v>
      </c>
      <c r="AY1137">
        <v>0</v>
      </c>
      <c r="AZ1137">
        <v>0</v>
      </c>
      <c r="BA1137">
        <v>0</v>
      </c>
      <c r="BB1137">
        <v>0</v>
      </c>
      <c r="BC1137">
        <v>0</v>
      </c>
      <c r="BD1137">
        <v>0</v>
      </c>
      <c r="BE1137">
        <v>0</v>
      </c>
      <c r="BF1137">
        <v>0</v>
      </c>
      <c r="BG1137">
        <v>0</v>
      </c>
      <c r="BH1137">
        <v>2</v>
      </c>
      <c r="BI1137">
        <v>6</v>
      </c>
      <c r="BJ1137">
        <v>3.6</v>
      </c>
      <c r="BK1137">
        <v>6</v>
      </c>
      <c r="BL1137">
        <v>228.13</v>
      </c>
      <c r="BM1137">
        <v>34.22</v>
      </c>
      <c r="BN1137">
        <v>262.35000000000002</v>
      </c>
      <c r="BO1137">
        <v>262.35000000000002</v>
      </c>
      <c r="BQ1137" t="s">
        <v>159</v>
      </c>
      <c r="BR1137" t="s">
        <v>82</v>
      </c>
      <c r="BS1137" s="3">
        <v>46001</v>
      </c>
      <c r="BT1137" s="4">
        <v>0.43472222222222223</v>
      </c>
      <c r="BU1137" t="s">
        <v>1858</v>
      </c>
      <c r="BV1137" t="s">
        <v>84</v>
      </c>
      <c r="BY1137">
        <v>17780</v>
      </c>
      <c r="CA1137" t="s">
        <v>1217</v>
      </c>
      <c r="CC1137" t="s">
        <v>157</v>
      </c>
      <c r="CD1137">
        <v>7530</v>
      </c>
      <c r="CE1137" t="s">
        <v>86</v>
      </c>
      <c r="CF1137" s="3">
        <v>46002</v>
      </c>
      <c r="CI1137">
        <v>1</v>
      </c>
      <c r="CJ1137">
        <v>1</v>
      </c>
      <c r="CK1137">
        <v>21</v>
      </c>
      <c r="CL1137" t="s">
        <v>87</v>
      </c>
    </row>
    <row r="1138" spans="1:90" x14ac:dyDescent="0.3">
      <c r="A1138" t="s">
        <v>72</v>
      </c>
      <c r="B1138" t="s">
        <v>73</v>
      </c>
      <c r="C1138" t="s">
        <v>74</v>
      </c>
      <c r="E1138" t="str">
        <f>"080069780959"</f>
        <v>080069780959</v>
      </c>
      <c r="F1138" s="3">
        <v>46000</v>
      </c>
      <c r="G1138">
        <v>202609</v>
      </c>
      <c r="H1138" t="s">
        <v>75</v>
      </c>
      <c r="I1138" t="s">
        <v>76</v>
      </c>
      <c r="J1138" t="s">
        <v>77</v>
      </c>
      <c r="K1138" t="s">
        <v>78</v>
      </c>
      <c r="L1138" t="s">
        <v>141</v>
      </c>
      <c r="M1138" t="s">
        <v>142</v>
      </c>
      <c r="N1138" t="s">
        <v>618</v>
      </c>
      <c r="O1138" t="s">
        <v>89</v>
      </c>
      <c r="P1138" t="str">
        <f>"4170072512                    "</f>
        <v xml:space="preserve">4170072512                    </v>
      </c>
      <c r="Q1138">
        <v>0</v>
      </c>
      <c r="R1138">
        <v>0</v>
      </c>
      <c r="S1138">
        <v>0</v>
      </c>
      <c r="T1138">
        <v>0</v>
      </c>
      <c r="U1138">
        <v>0</v>
      </c>
      <c r="V1138">
        <v>0</v>
      </c>
      <c r="W1138">
        <v>0</v>
      </c>
      <c r="X1138">
        <v>0</v>
      </c>
      <c r="Y1138">
        <v>0</v>
      </c>
      <c r="Z1138">
        <v>0</v>
      </c>
      <c r="AA1138">
        <v>0</v>
      </c>
      <c r="AB1138">
        <v>0</v>
      </c>
      <c r="AC1138">
        <v>0</v>
      </c>
      <c r="AD1138">
        <v>0</v>
      </c>
      <c r="AE1138">
        <v>0</v>
      </c>
      <c r="AF1138">
        <v>0</v>
      </c>
      <c r="AG1138">
        <v>0</v>
      </c>
      <c r="AH1138">
        <v>0</v>
      </c>
      <c r="AI1138">
        <v>0</v>
      </c>
      <c r="AJ1138">
        <v>0</v>
      </c>
      <c r="AK1138">
        <v>0</v>
      </c>
      <c r="AL1138">
        <v>0</v>
      </c>
      <c r="AM1138">
        <v>0</v>
      </c>
      <c r="AN1138">
        <v>0</v>
      </c>
      <c r="AO1138">
        <v>0</v>
      </c>
      <c r="AP1138">
        <v>0</v>
      </c>
      <c r="AQ1138">
        <v>25.52</v>
      </c>
      <c r="AR1138">
        <v>0</v>
      </c>
      <c r="AS1138">
        <v>0</v>
      </c>
      <c r="AT1138">
        <v>0</v>
      </c>
      <c r="AU1138">
        <v>0</v>
      </c>
      <c r="AV1138">
        <v>0</v>
      </c>
      <c r="AW1138">
        <v>0</v>
      </c>
      <c r="AX1138">
        <v>0</v>
      </c>
      <c r="AY1138">
        <v>0</v>
      </c>
      <c r="AZ1138">
        <v>0</v>
      </c>
      <c r="BA1138">
        <v>0</v>
      </c>
      <c r="BB1138">
        <v>0</v>
      </c>
      <c r="BC1138">
        <v>0</v>
      </c>
      <c r="BD1138">
        <v>0</v>
      </c>
      <c r="BE1138">
        <v>0</v>
      </c>
      <c r="BF1138">
        <v>0</v>
      </c>
      <c r="BG1138">
        <v>0</v>
      </c>
      <c r="BH1138">
        <v>1</v>
      </c>
      <c r="BI1138">
        <v>1</v>
      </c>
      <c r="BJ1138">
        <v>0.2</v>
      </c>
      <c r="BK1138">
        <v>1</v>
      </c>
      <c r="BL1138">
        <v>76.06</v>
      </c>
      <c r="BM1138">
        <v>11.41</v>
      </c>
      <c r="BN1138">
        <v>87.47</v>
      </c>
      <c r="BO1138">
        <v>87.47</v>
      </c>
      <c r="BQ1138" t="s">
        <v>619</v>
      </c>
      <c r="BR1138" t="s">
        <v>82</v>
      </c>
      <c r="BS1138" s="3">
        <v>46001</v>
      </c>
      <c r="BT1138" s="4">
        <v>0.41458333333333336</v>
      </c>
      <c r="BU1138" t="s">
        <v>1872</v>
      </c>
      <c r="BV1138" t="s">
        <v>84</v>
      </c>
      <c r="BY1138">
        <v>1200</v>
      </c>
      <c r="CA1138" t="s">
        <v>1873</v>
      </c>
      <c r="CC1138" t="s">
        <v>142</v>
      </c>
      <c r="CD1138">
        <v>6001</v>
      </c>
      <c r="CE1138" t="s">
        <v>134</v>
      </c>
      <c r="CF1138" s="3">
        <v>46001</v>
      </c>
      <c r="CI1138">
        <v>1</v>
      </c>
      <c r="CJ1138">
        <v>1</v>
      </c>
      <c r="CK1138">
        <v>21</v>
      </c>
      <c r="CL1138" t="s">
        <v>87</v>
      </c>
    </row>
    <row r="1139" spans="1:90" x14ac:dyDescent="0.3">
      <c r="A1139" t="s">
        <v>72</v>
      </c>
      <c r="B1139" t="s">
        <v>73</v>
      </c>
      <c r="C1139" t="s">
        <v>74</v>
      </c>
      <c r="E1139" t="str">
        <f>"080069781225"</f>
        <v>080069781225</v>
      </c>
      <c r="F1139" s="3">
        <v>46000</v>
      </c>
      <c r="G1139">
        <v>202609</v>
      </c>
      <c r="H1139" t="s">
        <v>75</v>
      </c>
      <c r="I1139" t="s">
        <v>76</v>
      </c>
      <c r="J1139" t="s">
        <v>77</v>
      </c>
      <c r="K1139" t="s">
        <v>78</v>
      </c>
      <c r="L1139" t="s">
        <v>458</v>
      </c>
      <c r="M1139" t="s">
        <v>459</v>
      </c>
      <c r="N1139" t="s">
        <v>460</v>
      </c>
      <c r="O1139" t="s">
        <v>89</v>
      </c>
      <c r="P1139" t="str">
        <f>"4170072518                    "</f>
        <v xml:space="preserve">4170072518                    </v>
      </c>
      <c r="Q1139">
        <v>0</v>
      </c>
      <c r="R1139">
        <v>0</v>
      </c>
      <c r="S1139">
        <v>0</v>
      </c>
      <c r="T1139">
        <v>0</v>
      </c>
      <c r="U1139">
        <v>0</v>
      </c>
      <c r="V1139">
        <v>0</v>
      </c>
      <c r="W1139">
        <v>0</v>
      </c>
      <c r="X1139">
        <v>0</v>
      </c>
      <c r="Y1139">
        <v>0</v>
      </c>
      <c r="Z1139">
        <v>0</v>
      </c>
      <c r="AA1139">
        <v>0</v>
      </c>
      <c r="AB1139">
        <v>0</v>
      </c>
      <c r="AC1139">
        <v>0</v>
      </c>
      <c r="AD1139">
        <v>0</v>
      </c>
      <c r="AE1139">
        <v>0</v>
      </c>
      <c r="AF1139">
        <v>0</v>
      </c>
      <c r="AG1139">
        <v>0</v>
      </c>
      <c r="AH1139">
        <v>0</v>
      </c>
      <c r="AI1139">
        <v>0</v>
      </c>
      <c r="AJ1139">
        <v>0</v>
      </c>
      <c r="AK1139">
        <v>0</v>
      </c>
      <c r="AL1139">
        <v>0</v>
      </c>
      <c r="AM1139">
        <v>0</v>
      </c>
      <c r="AN1139">
        <v>0</v>
      </c>
      <c r="AO1139">
        <v>0</v>
      </c>
      <c r="AP1139">
        <v>0</v>
      </c>
      <c r="AQ1139">
        <v>49.45</v>
      </c>
      <c r="AR1139">
        <v>0</v>
      </c>
      <c r="AS1139">
        <v>0</v>
      </c>
      <c r="AT1139">
        <v>0</v>
      </c>
      <c r="AU1139">
        <v>0</v>
      </c>
      <c r="AV1139">
        <v>0</v>
      </c>
      <c r="AW1139">
        <v>0</v>
      </c>
      <c r="AX1139">
        <v>0</v>
      </c>
      <c r="AY1139">
        <v>0</v>
      </c>
      <c r="AZ1139">
        <v>0</v>
      </c>
      <c r="BA1139">
        <v>0</v>
      </c>
      <c r="BB1139">
        <v>0</v>
      </c>
      <c r="BC1139">
        <v>0</v>
      </c>
      <c r="BD1139">
        <v>0</v>
      </c>
      <c r="BE1139">
        <v>0</v>
      </c>
      <c r="BF1139">
        <v>0</v>
      </c>
      <c r="BG1139">
        <v>0</v>
      </c>
      <c r="BH1139">
        <v>1</v>
      </c>
      <c r="BI1139">
        <v>1</v>
      </c>
      <c r="BJ1139">
        <v>0.2</v>
      </c>
      <c r="BK1139">
        <v>1</v>
      </c>
      <c r="BL1139">
        <v>147.38</v>
      </c>
      <c r="BM1139">
        <v>22.11</v>
      </c>
      <c r="BN1139">
        <v>169.49</v>
      </c>
      <c r="BO1139">
        <v>169.49</v>
      </c>
      <c r="BQ1139" t="s">
        <v>461</v>
      </c>
      <c r="BR1139" t="s">
        <v>82</v>
      </c>
      <c r="BS1139" s="3">
        <v>46001</v>
      </c>
      <c r="BT1139" s="4">
        <v>0.50694444444444442</v>
      </c>
      <c r="BU1139" t="s">
        <v>462</v>
      </c>
      <c r="BV1139" t="s">
        <v>84</v>
      </c>
      <c r="BY1139">
        <v>1200</v>
      </c>
      <c r="CA1139" t="s">
        <v>463</v>
      </c>
      <c r="CC1139" t="s">
        <v>459</v>
      </c>
      <c r="CD1139">
        <v>7130</v>
      </c>
      <c r="CE1139" t="s">
        <v>134</v>
      </c>
      <c r="CI1139">
        <v>1</v>
      </c>
      <c r="CJ1139">
        <v>1</v>
      </c>
      <c r="CK1139">
        <v>23</v>
      </c>
      <c r="CL1139" t="s">
        <v>87</v>
      </c>
    </row>
    <row r="1140" spans="1:90" x14ac:dyDescent="0.3">
      <c r="A1140" t="s">
        <v>72</v>
      </c>
      <c r="B1140" t="s">
        <v>73</v>
      </c>
      <c r="C1140" t="s">
        <v>74</v>
      </c>
      <c r="E1140" t="str">
        <f>"080069781262"</f>
        <v>080069781262</v>
      </c>
      <c r="F1140" s="3">
        <v>46000</v>
      </c>
      <c r="G1140">
        <v>202609</v>
      </c>
      <c r="H1140" t="s">
        <v>75</v>
      </c>
      <c r="I1140" t="s">
        <v>76</v>
      </c>
      <c r="J1140" t="s">
        <v>77</v>
      </c>
      <c r="K1140" t="s">
        <v>78</v>
      </c>
      <c r="L1140" t="s">
        <v>458</v>
      </c>
      <c r="M1140" t="s">
        <v>459</v>
      </c>
      <c r="N1140" t="s">
        <v>460</v>
      </c>
      <c r="O1140" t="s">
        <v>89</v>
      </c>
      <c r="P1140" t="str">
        <f>"4170072517                    "</f>
        <v xml:space="preserve">4170072517                    </v>
      </c>
      <c r="Q1140">
        <v>0</v>
      </c>
      <c r="R1140">
        <v>0</v>
      </c>
      <c r="S1140">
        <v>0</v>
      </c>
      <c r="T1140">
        <v>0</v>
      </c>
      <c r="U1140">
        <v>0</v>
      </c>
      <c r="V1140">
        <v>0</v>
      </c>
      <c r="W1140">
        <v>0</v>
      </c>
      <c r="X1140">
        <v>0</v>
      </c>
      <c r="Y1140">
        <v>0</v>
      </c>
      <c r="Z1140">
        <v>0</v>
      </c>
      <c r="AA1140">
        <v>0</v>
      </c>
      <c r="AB1140">
        <v>0</v>
      </c>
      <c r="AC1140">
        <v>0</v>
      </c>
      <c r="AD1140">
        <v>0</v>
      </c>
      <c r="AE1140">
        <v>0</v>
      </c>
      <c r="AF1140">
        <v>0</v>
      </c>
      <c r="AG1140">
        <v>0</v>
      </c>
      <c r="AH1140">
        <v>0</v>
      </c>
      <c r="AI1140">
        <v>0</v>
      </c>
      <c r="AJ1140">
        <v>0</v>
      </c>
      <c r="AK1140">
        <v>0</v>
      </c>
      <c r="AL1140">
        <v>0</v>
      </c>
      <c r="AM1140">
        <v>0</v>
      </c>
      <c r="AN1140">
        <v>0</v>
      </c>
      <c r="AO1140">
        <v>0</v>
      </c>
      <c r="AP1140">
        <v>0</v>
      </c>
      <c r="AQ1140">
        <v>49.45</v>
      </c>
      <c r="AR1140">
        <v>0</v>
      </c>
      <c r="AS1140">
        <v>0</v>
      </c>
      <c r="AT1140">
        <v>0</v>
      </c>
      <c r="AU1140">
        <v>0</v>
      </c>
      <c r="AV1140">
        <v>0</v>
      </c>
      <c r="AW1140">
        <v>0</v>
      </c>
      <c r="AX1140">
        <v>0</v>
      </c>
      <c r="AY1140">
        <v>0</v>
      </c>
      <c r="AZ1140">
        <v>0</v>
      </c>
      <c r="BA1140">
        <v>0</v>
      </c>
      <c r="BB1140">
        <v>0</v>
      </c>
      <c r="BC1140">
        <v>0</v>
      </c>
      <c r="BD1140">
        <v>0</v>
      </c>
      <c r="BE1140">
        <v>0</v>
      </c>
      <c r="BF1140">
        <v>0</v>
      </c>
      <c r="BG1140">
        <v>0</v>
      </c>
      <c r="BH1140">
        <v>1</v>
      </c>
      <c r="BI1140">
        <v>1</v>
      </c>
      <c r="BJ1140">
        <v>0.2</v>
      </c>
      <c r="BK1140">
        <v>1</v>
      </c>
      <c r="BL1140">
        <v>147.38</v>
      </c>
      <c r="BM1140">
        <v>22.11</v>
      </c>
      <c r="BN1140">
        <v>169.49</v>
      </c>
      <c r="BO1140">
        <v>169.49</v>
      </c>
      <c r="BQ1140" t="s">
        <v>461</v>
      </c>
      <c r="BR1140" t="s">
        <v>82</v>
      </c>
      <c r="BS1140" s="3">
        <v>46001</v>
      </c>
      <c r="BT1140" s="4">
        <v>0.50694444444444442</v>
      </c>
      <c r="BU1140" t="s">
        <v>462</v>
      </c>
      <c r="BV1140" t="s">
        <v>84</v>
      </c>
      <c r="BY1140">
        <v>1200</v>
      </c>
      <c r="CA1140" t="s">
        <v>463</v>
      </c>
      <c r="CC1140" t="s">
        <v>459</v>
      </c>
      <c r="CD1140">
        <v>7130</v>
      </c>
      <c r="CE1140" t="s">
        <v>134</v>
      </c>
      <c r="CI1140">
        <v>1</v>
      </c>
      <c r="CJ1140">
        <v>1</v>
      </c>
      <c r="CK1140">
        <v>23</v>
      </c>
      <c r="CL1140" t="s">
        <v>87</v>
      </c>
    </row>
    <row r="1141" spans="1:90" x14ac:dyDescent="0.3">
      <c r="A1141" t="s">
        <v>72</v>
      </c>
      <c r="B1141" t="s">
        <v>73</v>
      </c>
      <c r="C1141" t="s">
        <v>74</v>
      </c>
      <c r="E1141" t="str">
        <f>"080069781274"</f>
        <v>080069781274</v>
      </c>
      <c r="F1141" s="3">
        <v>46000</v>
      </c>
      <c r="G1141">
        <v>202609</v>
      </c>
      <c r="H1141" t="s">
        <v>75</v>
      </c>
      <c r="I1141" t="s">
        <v>76</v>
      </c>
      <c r="J1141" t="s">
        <v>77</v>
      </c>
      <c r="K1141" t="s">
        <v>78</v>
      </c>
      <c r="L1141" t="s">
        <v>156</v>
      </c>
      <c r="M1141" t="s">
        <v>157</v>
      </c>
      <c r="N1141" t="s">
        <v>634</v>
      </c>
      <c r="O1141" t="s">
        <v>80</v>
      </c>
      <c r="P1141" t="str">
        <f>"4170072579                    "</f>
        <v xml:space="preserve">4170072579                    </v>
      </c>
      <c r="Q1141">
        <v>0</v>
      </c>
      <c r="R1141">
        <v>0</v>
      </c>
      <c r="S1141">
        <v>0</v>
      </c>
      <c r="T1141">
        <v>0</v>
      </c>
      <c r="U1141">
        <v>0</v>
      </c>
      <c r="V1141">
        <v>0</v>
      </c>
      <c r="W1141">
        <v>0</v>
      </c>
      <c r="X1141">
        <v>0</v>
      </c>
      <c r="Y1141">
        <v>0</v>
      </c>
      <c r="Z1141">
        <v>0</v>
      </c>
      <c r="AA1141">
        <v>0</v>
      </c>
      <c r="AB1141">
        <v>0</v>
      </c>
      <c r="AC1141">
        <v>0</v>
      </c>
      <c r="AD1141">
        <v>0</v>
      </c>
      <c r="AE1141">
        <v>0</v>
      </c>
      <c r="AF1141">
        <v>0</v>
      </c>
      <c r="AG1141">
        <v>0</v>
      </c>
      <c r="AH1141">
        <v>0</v>
      </c>
      <c r="AI1141">
        <v>0</v>
      </c>
      <c r="AJ1141">
        <v>0</v>
      </c>
      <c r="AK1141">
        <v>0</v>
      </c>
      <c r="AL1141">
        <v>0</v>
      </c>
      <c r="AM1141">
        <v>0</v>
      </c>
      <c r="AN1141">
        <v>0</v>
      </c>
      <c r="AO1141">
        <v>0</v>
      </c>
      <c r="AP1141">
        <v>0</v>
      </c>
      <c r="AQ1141">
        <v>90.16</v>
      </c>
      <c r="AR1141">
        <v>0</v>
      </c>
      <c r="AS1141">
        <v>0</v>
      </c>
      <c r="AT1141">
        <v>0</v>
      </c>
      <c r="AU1141">
        <v>0</v>
      </c>
      <c r="AV1141">
        <v>0</v>
      </c>
      <c r="AW1141">
        <v>0</v>
      </c>
      <c r="AX1141">
        <v>0</v>
      </c>
      <c r="AY1141">
        <v>0</v>
      </c>
      <c r="AZ1141">
        <v>0</v>
      </c>
      <c r="BA1141">
        <v>0</v>
      </c>
      <c r="BB1141">
        <v>0</v>
      </c>
      <c r="BC1141">
        <v>0</v>
      </c>
      <c r="BD1141">
        <v>0</v>
      </c>
      <c r="BE1141">
        <v>0</v>
      </c>
      <c r="BF1141">
        <v>0</v>
      </c>
      <c r="BG1141">
        <v>0</v>
      </c>
      <c r="BH1141">
        <v>3</v>
      </c>
      <c r="BI1141">
        <v>35</v>
      </c>
      <c r="BJ1141">
        <v>24.5</v>
      </c>
      <c r="BK1141">
        <v>35</v>
      </c>
      <c r="BL1141">
        <v>274.8</v>
      </c>
      <c r="BM1141">
        <v>41.22</v>
      </c>
      <c r="BN1141">
        <v>316.02</v>
      </c>
      <c r="BO1141">
        <v>316.02</v>
      </c>
      <c r="BQ1141" t="s">
        <v>635</v>
      </c>
      <c r="BR1141" t="s">
        <v>82</v>
      </c>
      <c r="BS1141" s="3">
        <v>46002</v>
      </c>
      <c r="BT1141" s="4">
        <v>0.6875</v>
      </c>
      <c r="BU1141" t="s">
        <v>1874</v>
      </c>
      <c r="BV1141" t="s">
        <v>84</v>
      </c>
      <c r="BY1141">
        <v>122348</v>
      </c>
      <c r="CA1141" t="s">
        <v>844</v>
      </c>
      <c r="CC1141" t="s">
        <v>157</v>
      </c>
      <c r="CD1141">
        <v>7535</v>
      </c>
      <c r="CE1141" t="s">
        <v>86</v>
      </c>
      <c r="CI1141">
        <v>3</v>
      </c>
      <c r="CJ1141">
        <v>2</v>
      </c>
      <c r="CK1141">
        <v>41</v>
      </c>
      <c r="CL1141" t="s">
        <v>87</v>
      </c>
    </row>
    <row r="1142" spans="1:90" x14ac:dyDescent="0.3">
      <c r="A1142" t="s">
        <v>72</v>
      </c>
      <c r="B1142" t="s">
        <v>73</v>
      </c>
      <c r="C1142" t="s">
        <v>74</v>
      </c>
      <c r="E1142" t="str">
        <f>"080069781400"</f>
        <v>080069781400</v>
      </c>
      <c r="F1142" s="3">
        <v>46000</v>
      </c>
      <c r="G1142">
        <v>202609</v>
      </c>
      <c r="H1142" t="s">
        <v>75</v>
      </c>
      <c r="I1142" t="s">
        <v>76</v>
      </c>
      <c r="J1142" t="s">
        <v>77</v>
      </c>
      <c r="K1142" t="s">
        <v>78</v>
      </c>
      <c r="L1142" t="s">
        <v>156</v>
      </c>
      <c r="M1142" t="s">
        <v>157</v>
      </c>
      <c r="N1142" t="s">
        <v>158</v>
      </c>
      <c r="O1142" t="s">
        <v>80</v>
      </c>
      <c r="P1142" t="str">
        <f>"4170072538                    "</f>
        <v xml:space="preserve">4170072538                    </v>
      </c>
      <c r="Q1142">
        <v>0</v>
      </c>
      <c r="R1142">
        <v>0</v>
      </c>
      <c r="S1142">
        <v>0</v>
      </c>
      <c r="T1142">
        <v>0</v>
      </c>
      <c r="U1142">
        <v>0</v>
      </c>
      <c r="V1142">
        <v>0</v>
      </c>
      <c r="W1142">
        <v>0</v>
      </c>
      <c r="X1142">
        <v>0</v>
      </c>
      <c r="Y1142">
        <v>0</v>
      </c>
      <c r="Z1142">
        <v>0</v>
      </c>
      <c r="AA1142">
        <v>0</v>
      </c>
      <c r="AB1142">
        <v>0</v>
      </c>
      <c r="AC1142">
        <v>0</v>
      </c>
      <c r="AD1142">
        <v>0</v>
      </c>
      <c r="AE1142">
        <v>0</v>
      </c>
      <c r="AF1142">
        <v>0</v>
      </c>
      <c r="AG1142">
        <v>0</v>
      </c>
      <c r="AH1142">
        <v>0</v>
      </c>
      <c r="AI1142">
        <v>0</v>
      </c>
      <c r="AJ1142">
        <v>0</v>
      </c>
      <c r="AK1142">
        <v>0</v>
      </c>
      <c r="AL1142">
        <v>0</v>
      </c>
      <c r="AM1142">
        <v>0</v>
      </c>
      <c r="AN1142">
        <v>0</v>
      </c>
      <c r="AO1142">
        <v>0</v>
      </c>
      <c r="AP1142">
        <v>0</v>
      </c>
      <c r="AQ1142">
        <v>243.18</v>
      </c>
      <c r="AR1142">
        <v>0</v>
      </c>
      <c r="AS1142">
        <v>0</v>
      </c>
      <c r="AT1142">
        <v>0</v>
      </c>
      <c r="AU1142">
        <v>0</v>
      </c>
      <c r="AV1142">
        <v>0</v>
      </c>
      <c r="AW1142">
        <v>0</v>
      </c>
      <c r="AX1142">
        <v>0</v>
      </c>
      <c r="AY1142">
        <v>0</v>
      </c>
      <c r="AZ1142">
        <v>0</v>
      </c>
      <c r="BA1142">
        <v>0</v>
      </c>
      <c r="BB1142">
        <v>0</v>
      </c>
      <c r="BC1142">
        <v>0</v>
      </c>
      <c r="BD1142">
        <v>0</v>
      </c>
      <c r="BE1142">
        <v>0</v>
      </c>
      <c r="BF1142">
        <v>0</v>
      </c>
      <c r="BG1142">
        <v>0</v>
      </c>
      <c r="BH1142">
        <v>1</v>
      </c>
      <c r="BI1142">
        <v>87</v>
      </c>
      <c r="BJ1142">
        <v>109.6</v>
      </c>
      <c r="BK1142">
        <v>110</v>
      </c>
      <c r="BL1142">
        <v>730.82</v>
      </c>
      <c r="BM1142">
        <v>109.62</v>
      </c>
      <c r="BN1142">
        <v>840.44</v>
      </c>
      <c r="BO1142">
        <v>840.44</v>
      </c>
      <c r="BQ1142" t="s">
        <v>159</v>
      </c>
      <c r="BR1142" t="s">
        <v>82</v>
      </c>
      <c r="BS1142" s="3">
        <v>46002</v>
      </c>
      <c r="BT1142" s="4">
        <v>0.37708333333333333</v>
      </c>
      <c r="BU1142" t="s">
        <v>1875</v>
      </c>
      <c r="BV1142" t="s">
        <v>84</v>
      </c>
      <c r="BY1142">
        <v>547965</v>
      </c>
      <c r="CA1142" t="s">
        <v>1876</v>
      </c>
      <c r="CC1142" t="s">
        <v>157</v>
      </c>
      <c r="CD1142">
        <v>7530</v>
      </c>
      <c r="CE1142" t="s">
        <v>567</v>
      </c>
      <c r="CI1142">
        <v>3</v>
      </c>
      <c r="CJ1142">
        <v>2</v>
      </c>
      <c r="CK1142">
        <v>41</v>
      </c>
      <c r="CL1142" t="s">
        <v>87</v>
      </c>
    </row>
    <row r="1143" spans="1:90" x14ac:dyDescent="0.3">
      <c r="A1143" t="s">
        <v>72</v>
      </c>
      <c r="B1143" t="s">
        <v>73</v>
      </c>
      <c r="C1143" t="s">
        <v>74</v>
      </c>
      <c r="E1143" t="str">
        <f>"080069781402"</f>
        <v>080069781402</v>
      </c>
      <c r="F1143" s="3">
        <v>46000</v>
      </c>
      <c r="G1143">
        <v>202609</v>
      </c>
      <c r="H1143" t="s">
        <v>75</v>
      </c>
      <c r="I1143" t="s">
        <v>76</v>
      </c>
      <c r="J1143" t="s">
        <v>77</v>
      </c>
      <c r="K1143" t="s">
        <v>78</v>
      </c>
      <c r="L1143" t="s">
        <v>141</v>
      </c>
      <c r="M1143" t="s">
        <v>142</v>
      </c>
      <c r="N1143" t="s">
        <v>312</v>
      </c>
      <c r="O1143" t="s">
        <v>89</v>
      </c>
      <c r="P1143" t="str">
        <f>"4170072522                    "</f>
        <v xml:space="preserve">4170072522                    </v>
      </c>
      <c r="Q1143">
        <v>0</v>
      </c>
      <c r="R1143">
        <v>0</v>
      </c>
      <c r="S1143">
        <v>0</v>
      </c>
      <c r="T1143">
        <v>0</v>
      </c>
      <c r="U1143">
        <v>0</v>
      </c>
      <c r="V1143">
        <v>0</v>
      </c>
      <c r="W1143">
        <v>0</v>
      </c>
      <c r="X1143">
        <v>0</v>
      </c>
      <c r="Y1143">
        <v>0</v>
      </c>
      <c r="Z1143">
        <v>0</v>
      </c>
      <c r="AA1143">
        <v>0</v>
      </c>
      <c r="AB1143">
        <v>0</v>
      </c>
      <c r="AC1143">
        <v>0</v>
      </c>
      <c r="AD1143">
        <v>0</v>
      </c>
      <c r="AE1143">
        <v>0</v>
      </c>
      <c r="AF1143">
        <v>0</v>
      </c>
      <c r="AG1143">
        <v>0</v>
      </c>
      <c r="AH1143">
        <v>0</v>
      </c>
      <c r="AI1143">
        <v>0</v>
      </c>
      <c r="AJ1143">
        <v>0</v>
      </c>
      <c r="AK1143">
        <v>0</v>
      </c>
      <c r="AL1143">
        <v>0</v>
      </c>
      <c r="AM1143">
        <v>0</v>
      </c>
      <c r="AN1143">
        <v>0</v>
      </c>
      <c r="AO1143">
        <v>0</v>
      </c>
      <c r="AP1143">
        <v>0</v>
      </c>
      <c r="AQ1143">
        <v>25.52</v>
      </c>
      <c r="AR1143">
        <v>0</v>
      </c>
      <c r="AS1143">
        <v>0</v>
      </c>
      <c r="AT1143">
        <v>0</v>
      </c>
      <c r="AU1143">
        <v>0</v>
      </c>
      <c r="AV1143">
        <v>0</v>
      </c>
      <c r="AW1143">
        <v>0</v>
      </c>
      <c r="AX1143">
        <v>0</v>
      </c>
      <c r="AY1143">
        <v>0</v>
      </c>
      <c r="AZ1143">
        <v>0</v>
      </c>
      <c r="BA1143">
        <v>0</v>
      </c>
      <c r="BB1143">
        <v>0</v>
      </c>
      <c r="BC1143">
        <v>0</v>
      </c>
      <c r="BD1143">
        <v>0</v>
      </c>
      <c r="BE1143">
        <v>0</v>
      </c>
      <c r="BF1143">
        <v>0</v>
      </c>
      <c r="BG1143">
        <v>0</v>
      </c>
      <c r="BH1143">
        <v>1</v>
      </c>
      <c r="BI1143">
        <v>1</v>
      </c>
      <c r="BJ1143">
        <v>0.2</v>
      </c>
      <c r="BK1143">
        <v>1</v>
      </c>
      <c r="BL1143">
        <v>76.06</v>
      </c>
      <c r="BM1143">
        <v>11.41</v>
      </c>
      <c r="BN1143">
        <v>87.47</v>
      </c>
      <c r="BO1143">
        <v>87.47</v>
      </c>
      <c r="BQ1143" t="s">
        <v>313</v>
      </c>
      <c r="BR1143" t="s">
        <v>82</v>
      </c>
      <c r="BS1143" s="3">
        <v>46001</v>
      </c>
      <c r="BT1143" s="4">
        <v>0.39583333333333331</v>
      </c>
      <c r="BU1143" t="s">
        <v>1877</v>
      </c>
      <c r="BV1143" t="s">
        <v>84</v>
      </c>
      <c r="BY1143">
        <v>1200</v>
      </c>
      <c r="CA1143" t="s">
        <v>315</v>
      </c>
      <c r="CC1143" t="s">
        <v>142</v>
      </c>
      <c r="CD1143">
        <v>6001</v>
      </c>
      <c r="CE1143" t="s">
        <v>134</v>
      </c>
      <c r="CF1143" s="3">
        <v>46001</v>
      </c>
      <c r="CI1143">
        <v>1</v>
      </c>
      <c r="CJ1143">
        <v>1</v>
      </c>
      <c r="CK1143">
        <v>21</v>
      </c>
      <c r="CL1143" t="s">
        <v>87</v>
      </c>
    </row>
    <row r="1144" spans="1:90" x14ac:dyDescent="0.3">
      <c r="A1144" t="s">
        <v>72</v>
      </c>
      <c r="B1144" t="s">
        <v>73</v>
      </c>
      <c r="C1144" t="s">
        <v>74</v>
      </c>
      <c r="E1144" t="str">
        <f>"080069781447"</f>
        <v>080069781447</v>
      </c>
      <c r="F1144" s="3">
        <v>46000</v>
      </c>
      <c r="G1144">
        <v>202609</v>
      </c>
      <c r="H1144" t="s">
        <v>75</v>
      </c>
      <c r="I1144" t="s">
        <v>76</v>
      </c>
      <c r="J1144" t="s">
        <v>77</v>
      </c>
      <c r="K1144" t="s">
        <v>78</v>
      </c>
      <c r="L1144" t="s">
        <v>302</v>
      </c>
      <c r="M1144" t="s">
        <v>303</v>
      </c>
      <c r="N1144" t="s">
        <v>425</v>
      </c>
      <c r="O1144" t="s">
        <v>89</v>
      </c>
      <c r="P1144" t="str">
        <f>"4170072523                    "</f>
        <v xml:space="preserve">4170072523                    </v>
      </c>
      <c r="Q1144">
        <v>0</v>
      </c>
      <c r="R1144">
        <v>0</v>
      </c>
      <c r="S1144">
        <v>0</v>
      </c>
      <c r="T1144">
        <v>0</v>
      </c>
      <c r="U1144">
        <v>0</v>
      </c>
      <c r="V1144">
        <v>0</v>
      </c>
      <c r="W1144">
        <v>0</v>
      </c>
      <c r="X1144">
        <v>0</v>
      </c>
      <c r="Y1144">
        <v>0</v>
      </c>
      <c r="Z1144">
        <v>0</v>
      </c>
      <c r="AA1144">
        <v>0</v>
      </c>
      <c r="AB1144">
        <v>0</v>
      </c>
      <c r="AC1144">
        <v>0</v>
      </c>
      <c r="AD1144">
        <v>0</v>
      </c>
      <c r="AE1144">
        <v>0</v>
      </c>
      <c r="AF1144">
        <v>0</v>
      </c>
      <c r="AG1144">
        <v>0</v>
      </c>
      <c r="AH1144">
        <v>0</v>
      </c>
      <c r="AI1144">
        <v>0</v>
      </c>
      <c r="AJ1144">
        <v>0</v>
      </c>
      <c r="AK1144">
        <v>0</v>
      </c>
      <c r="AL1144">
        <v>0</v>
      </c>
      <c r="AM1144">
        <v>0</v>
      </c>
      <c r="AN1144">
        <v>0</v>
      </c>
      <c r="AO1144">
        <v>0</v>
      </c>
      <c r="AP1144">
        <v>0</v>
      </c>
      <c r="AQ1144">
        <v>25.52</v>
      </c>
      <c r="AR1144">
        <v>0</v>
      </c>
      <c r="AS1144">
        <v>0</v>
      </c>
      <c r="AT1144">
        <v>0</v>
      </c>
      <c r="AU1144">
        <v>0</v>
      </c>
      <c r="AV1144">
        <v>0</v>
      </c>
      <c r="AW1144">
        <v>0</v>
      </c>
      <c r="AX1144">
        <v>0</v>
      </c>
      <c r="AY1144">
        <v>0</v>
      </c>
      <c r="AZ1144">
        <v>0</v>
      </c>
      <c r="BA1144">
        <v>0</v>
      </c>
      <c r="BB1144">
        <v>0</v>
      </c>
      <c r="BC1144">
        <v>0</v>
      </c>
      <c r="BD1144">
        <v>0</v>
      </c>
      <c r="BE1144">
        <v>0</v>
      </c>
      <c r="BF1144">
        <v>0</v>
      </c>
      <c r="BG1144">
        <v>0</v>
      </c>
      <c r="BH1144">
        <v>1</v>
      </c>
      <c r="BI1144">
        <v>1</v>
      </c>
      <c r="BJ1144">
        <v>0.2</v>
      </c>
      <c r="BK1144">
        <v>1</v>
      </c>
      <c r="BL1144">
        <v>76.06</v>
      </c>
      <c r="BM1144">
        <v>11.41</v>
      </c>
      <c r="BN1144">
        <v>87.47</v>
      </c>
      <c r="BO1144">
        <v>87.47</v>
      </c>
      <c r="BQ1144" t="s">
        <v>426</v>
      </c>
      <c r="BR1144" t="s">
        <v>82</v>
      </c>
      <c r="BS1144" s="3">
        <v>46001</v>
      </c>
      <c r="BT1144" s="4">
        <v>0.35416666666666669</v>
      </c>
      <c r="BU1144" t="s">
        <v>1878</v>
      </c>
      <c r="BV1144" t="s">
        <v>84</v>
      </c>
      <c r="BY1144">
        <v>1200</v>
      </c>
      <c r="CA1144">
        <v>7712195338085</v>
      </c>
      <c r="CC1144" t="s">
        <v>303</v>
      </c>
      <c r="CD1144" s="5" t="s">
        <v>350</v>
      </c>
      <c r="CE1144" t="s">
        <v>134</v>
      </c>
      <c r="CF1144" s="3">
        <v>46001</v>
      </c>
      <c r="CI1144">
        <v>1</v>
      </c>
      <c r="CJ1144">
        <v>1</v>
      </c>
      <c r="CK1144">
        <v>21</v>
      </c>
      <c r="CL1144" t="s">
        <v>87</v>
      </c>
    </row>
    <row r="1145" spans="1:90" x14ac:dyDescent="0.3">
      <c r="A1145" t="s">
        <v>72</v>
      </c>
      <c r="B1145" t="s">
        <v>73</v>
      </c>
      <c r="C1145" t="s">
        <v>74</v>
      </c>
      <c r="E1145" t="str">
        <f>"080069781712"</f>
        <v>080069781712</v>
      </c>
      <c r="F1145" s="3">
        <v>46000</v>
      </c>
      <c r="G1145">
        <v>202609</v>
      </c>
      <c r="H1145" t="s">
        <v>75</v>
      </c>
      <c r="I1145" t="s">
        <v>76</v>
      </c>
      <c r="J1145" t="s">
        <v>77</v>
      </c>
      <c r="K1145" t="s">
        <v>78</v>
      </c>
      <c r="L1145" t="s">
        <v>283</v>
      </c>
      <c r="M1145" t="s">
        <v>284</v>
      </c>
      <c r="N1145" t="s">
        <v>285</v>
      </c>
      <c r="O1145" t="s">
        <v>89</v>
      </c>
      <c r="P1145" t="str">
        <f>"4170072503                    "</f>
        <v xml:space="preserve">4170072503                    </v>
      </c>
      <c r="Q1145">
        <v>0</v>
      </c>
      <c r="R1145">
        <v>0</v>
      </c>
      <c r="S1145">
        <v>0</v>
      </c>
      <c r="T1145">
        <v>0</v>
      </c>
      <c r="U1145">
        <v>0</v>
      </c>
      <c r="V1145">
        <v>0</v>
      </c>
      <c r="W1145">
        <v>0</v>
      </c>
      <c r="X1145">
        <v>0</v>
      </c>
      <c r="Y1145">
        <v>0</v>
      </c>
      <c r="Z1145">
        <v>0</v>
      </c>
      <c r="AA1145">
        <v>0</v>
      </c>
      <c r="AB1145">
        <v>0</v>
      </c>
      <c r="AC1145">
        <v>0</v>
      </c>
      <c r="AD1145">
        <v>0</v>
      </c>
      <c r="AE1145">
        <v>0</v>
      </c>
      <c r="AF1145">
        <v>0</v>
      </c>
      <c r="AG1145">
        <v>0</v>
      </c>
      <c r="AH1145">
        <v>0</v>
      </c>
      <c r="AI1145">
        <v>0</v>
      </c>
      <c r="AJ1145">
        <v>0</v>
      </c>
      <c r="AK1145">
        <v>0</v>
      </c>
      <c r="AL1145">
        <v>0</v>
      </c>
      <c r="AM1145">
        <v>0</v>
      </c>
      <c r="AN1145">
        <v>0</v>
      </c>
      <c r="AO1145">
        <v>0</v>
      </c>
      <c r="AP1145">
        <v>0</v>
      </c>
      <c r="AQ1145">
        <v>194.61</v>
      </c>
      <c r="AR1145">
        <v>0</v>
      </c>
      <c r="AS1145">
        <v>0</v>
      </c>
      <c r="AT1145">
        <v>0</v>
      </c>
      <c r="AU1145">
        <v>0</v>
      </c>
      <c r="AV1145">
        <v>0</v>
      </c>
      <c r="AW1145">
        <v>0</v>
      </c>
      <c r="AX1145">
        <v>0</v>
      </c>
      <c r="AY1145">
        <v>0</v>
      </c>
      <c r="AZ1145">
        <v>0</v>
      </c>
      <c r="BA1145">
        <v>0</v>
      </c>
      <c r="BB1145">
        <v>0</v>
      </c>
      <c r="BC1145">
        <v>0</v>
      </c>
      <c r="BD1145">
        <v>0</v>
      </c>
      <c r="BE1145">
        <v>0</v>
      </c>
      <c r="BF1145">
        <v>0</v>
      </c>
      <c r="BG1145">
        <v>0</v>
      </c>
      <c r="BH1145">
        <v>2</v>
      </c>
      <c r="BI1145">
        <v>7.2</v>
      </c>
      <c r="BJ1145">
        <v>8.1999999999999993</v>
      </c>
      <c r="BK1145">
        <v>8.5</v>
      </c>
      <c r="BL1145">
        <v>579.97</v>
      </c>
      <c r="BM1145">
        <v>87</v>
      </c>
      <c r="BN1145">
        <v>666.97</v>
      </c>
      <c r="BO1145">
        <v>666.97</v>
      </c>
      <c r="BQ1145" t="s">
        <v>286</v>
      </c>
      <c r="BR1145" t="s">
        <v>82</v>
      </c>
      <c r="BS1145" s="3">
        <v>46001</v>
      </c>
      <c r="BT1145" s="4">
        <v>0.37847222222222221</v>
      </c>
      <c r="BU1145" t="s">
        <v>287</v>
      </c>
      <c r="BV1145" t="s">
        <v>84</v>
      </c>
      <c r="BY1145">
        <v>41231.800000000003</v>
      </c>
      <c r="CA1145">
        <v>6805135560080</v>
      </c>
      <c r="CC1145" t="s">
        <v>284</v>
      </c>
      <c r="CD1145">
        <v>1947</v>
      </c>
      <c r="CE1145" t="s">
        <v>93</v>
      </c>
      <c r="CF1145" s="3">
        <v>46002</v>
      </c>
      <c r="CI1145">
        <v>1</v>
      </c>
      <c r="CJ1145">
        <v>1</v>
      </c>
      <c r="CK1145">
        <v>23</v>
      </c>
      <c r="CL1145" t="s">
        <v>87</v>
      </c>
    </row>
    <row r="1146" spans="1:90" x14ac:dyDescent="0.3">
      <c r="A1146" t="s">
        <v>72</v>
      </c>
      <c r="B1146" t="s">
        <v>73</v>
      </c>
      <c r="C1146" t="s">
        <v>74</v>
      </c>
      <c r="E1146" t="str">
        <f>"080069781825"</f>
        <v>080069781825</v>
      </c>
      <c r="F1146" s="3">
        <v>46000</v>
      </c>
      <c r="G1146">
        <v>202609</v>
      </c>
      <c r="H1146" t="s">
        <v>75</v>
      </c>
      <c r="I1146" t="s">
        <v>76</v>
      </c>
      <c r="J1146" t="s">
        <v>77</v>
      </c>
      <c r="K1146" t="s">
        <v>78</v>
      </c>
      <c r="L1146" t="s">
        <v>100</v>
      </c>
      <c r="M1146" t="s">
        <v>101</v>
      </c>
      <c r="N1146" t="s">
        <v>1879</v>
      </c>
      <c r="O1146" t="s">
        <v>80</v>
      </c>
      <c r="P1146" t="str">
        <f>"4170072574                    "</f>
        <v xml:space="preserve">4170072574                    </v>
      </c>
      <c r="Q1146">
        <v>0</v>
      </c>
      <c r="R1146">
        <v>0</v>
      </c>
      <c r="S1146">
        <v>0</v>
      </c>
      <c r="T1146">
        <v>0</v>
      </c>
      <c r="U1146">
        <v>0</v>
      </c>
      <c r="V1146">
        <v>0</v>
      </c>
      <c r="W1146">
        <v>0</v>
      </c>
      <c r="X1146">
        <v>0</v>
      </c>
      <c r="Y1146">
        <v>0</v>
      </c>
      <c r="Z1146">
        <v>0</v>
      </c>
      <c r="AA1146">
        <v>0</v>
      </c>
      <c r="AB1146">
        <v>0</v>
      </c>
      <c r="AC1146">
        <v>0</v>
      </c>
      <c r="AD1146">
        <v>0</v>
      </c>
      <c r="AE1146">
        <v>0</v>
      </c>
      <c r="AF1146">
        <v>0</v>
      </c>
      <c r="AG1146">
        <v>0</v>
      </c>
      <c r="AH1146">
        <v>0</v>
      </c>
      <c r="AI1146">
        <v>0</v>
      </c>
      <c r="AJ1146">
        <v>0</v>
      </c>
      <c r="AK1146">
        <v>0</v>
      </c>
      <c r="AL1146">
        <v>0</v>
      </c>
      <c r="AM1146">
        <v>0</v>
      </c>
      <c r="AN1146">
        <v>0</v>
      </c>
      <c r="AO1146">
        <v>0</v>
      </c>
      <c r="AP1146">
        <v>0</v>
      </c>
      <c r="AQ1146">
        <v>79.959999999999994</v>
      </c>
      <c r="AR1146">
        <v>0</v>
      </c>
      <c r="AS1146">
        <v>0</v>
      </c>
      <c r="AT1146">
        <v>0</v>
      </c>
      <c r="AU1146">
        <v>0</v>
      </c>
      <c r="AV1146">
        <v>0</v>
      </c>
      <c r="AW1146">
        <v>0</v>
      </c>
      <c r="AX1146">
        <v>0</v>
      </c>
      <c r="AY1146">
        <v>0</v>
      </c>
      <c r="AZ1146">
        <v>0</v>
      </c>
      <c r="BA1146">
        <v>0</v>
      </c>
      <c r="BB1146">
        <v>0</v>
      </c>
      <c r="BC1146">
        <v>0</v>
      </c>
      <c r="BD1146">
        <v>0</v>
      </c>
      <c r="BE1146">
        <v>0</v>
      </c>
      <c r="BF1146">
        <v>0</v>
      </c>
      <c r="BG1146">
        <v>0</v>
      </c>
      <c r="BH1146">
        <v>3</v>
      </c>
      <c r="BI1146">
        <v>29.6</v>
      </c>
      <c r="BJ1146">
        <v>24</v>
      </c>
      <c r="BK1146">
        <v>30</v>
      </c>
      <c r="BL1146">
        <v>244.4</v>
      </c>
      <c r="BM1146">
        <v>36.659999999999997</v>
      </c>
      <c r="BN1146">
        <v>281.06</v>
      </c>
      <c r="BO1146">
        <v>281.06</v>
      </c>
      <c r="BQ1146" t="s">
        <v>1880</v>
      </c>
      <c r="BR1146" t="s">
        <v>82</v>
      </c>
      <c r="BS1146" s="3">
        <v>46002</v>
      </c>
      <c r="BT1146" s="4">
        <v>0.5</v>
      </c>
      <c r="BU1146" t="s">
        <v>1881</v>
      </c>
      <c r="BV1146" t="s">
        <v>84</v>
      </c>
      <c r="BY1146">
        <v>120038.94</v>
      </c>
      <c r="CC1146" t="s">
        <v>101</v>
      </c>
      <c r="CD1146">
        <v>4001</v>
      </c>
      <c r="CE1146" t="s">
        <v>86</v>
      </c>
      <c r="CF1146" s="3">
        <v>46003</v>
      </c>
      <c r="CI1146">
        <v>1</v>
      </c>
      <c r="CJ1146">
        <v>2</v>
      </c>
      <c r="CK1146">
        <v>41</v>
      </c>
      <c r="CL1146" t="s">
        <v>87</v>
      </c>
    </row>
    <row r="1147" spans="1:90" x14ac:dyDescent="0.3">
      <c r="A1147" t="s">
        <v>72</v>
      </c>
      <c r="B1147" t="s">
        <v>73</v>
      </c>
      <c r="C1147" t="s">
        <v>74</v>
      </c>
      <c r="E1147" t="str">
        <f>"080069781900"</f>
        <v>080069781900</v>
      </c>
      <c r="F1147" s="3">
        <v>46000</v>
      </c>
      <c r="G1147">
        <v>202609</v>
      </c>
      <c r="H1147" t="s">
        <v>75</v>
      </c>
      <c r="I1147" t="s">
        <v>76</v>
      </c>
      <c r="J1147" t="s">
        <v>77</v>
      </c>
      <c r="K1147" t="s">
        <v>78</v>
      </c>
      <c r="L1147" t="s">
        <v>176</v>
      </c>
      <c r="M1147" t="s">
        <v>177</v>
      </c>
      <c r="N1147" t="s">
        <v>684</v>
      </c>
      <c r="O1147" t="s">
        <v>340</v>
      </c>
      <c r="P1147" t="str">
        <f>"4170072500                    "</f>
        <v xml:space="preserve">4170072500                    </v>
      </c>
      <c r="Q1147">
        <v>0</v>
      </c>
      <c r="R1147">
        <v>0</v>
      </c>
      <c r="S1147">
        <v>0</v>
      </c>
      <c r="T1147">
        <v>0</v>
      </c>
      <c r="U1147">
        <v>0</v>
      </c>
      <c r="V1147">
        <v>0</v>
      </c>
      <c r="W1147">
        <v>0</v>
      </c>
      <c r="X1147">
        <v>0</v>
      </c>
      <c r="Y1147">
        <v>0</v>
      </c>
      <c r="Z1147">
        <v>0</v>
      </c>
      <c r="AA1147">
        <v>0</v>
      </c>
      <c r="AB1147">
        <v>0</v>
      </c>
      <c r="AC1147">
        <v>0</v>
      </c>
      <c r="AD1147">
        <v>0</v>
      </c>
      <c r="AE1147">
        <v>0</v>
      </c>
      <c r="AF1147">
        <v>0</v>
      </c>
      <c r="AG1147">
        <v>0</v>
      </c>
      <c r="AH1147">
        <v>0</v>
      </c>
      <c r="AI1147">
        <v>0</v>
      </c>
      <c r="AJ1147">
        <v>0</v>
      </c>
      <c r="AK1147">
        <v>0</v>
      </c>
      <c r="AL1147">
        <v>0</v>
      </c>
      <c r="AM1147">
        <v>0</v>
      </c>
      <c r="AN1147">
        <v>0</v>
      </c>
      <c r="AO1147">
        <v>0</v>
      </c>
      <c r="AP1147">
        <v>0</v>
      </c>
      <c r="AQ1147">
        <v>19.940000000000001</v>
      </c>
      <c r="AR1147">
        <v>0</v>
      </c>
      <c r="AS1147">
        <v>0</v>
      </c>
      <c r="AT1147">
        <v>0</v>
      </c>
      <c r="AU1147">
        <v>0</v>
      </c>
      <c r="AV1147">
        <v>0</v>
      </c>
      <c r="AW1147">
        <v>17.41</v>
      </c>
      <c r="AX1147">
        <v>0</v>
      </c>
      <c r="AY1147">
        <v>0</v>
      </c>
      <c r="AZ1147">
        <v>0</v>
      </c>
      <c r="BA1147">
        <v>0</v>
      </c>
      <c r="BB1147">
        <v>0</v>
      </c>
      <c r="BC1147">
        <v>0</v>
      </c>
      <c r="BD1147">
        <v>0</v>
      </c>
      <c r="BE1147">
        <v>0</v>
      </c>
      <c r="BF1147">
        <v>0</v>
      </c>
      <c r="BG1147">
        <v>0</v>
      </c>
      <c r="BH1147">
        <v>1</v>
      </c>
      <c r="BI1147">
        <v>4.4000000000000004</v>
      </c>
      <c r="BJ1147">
        <v>3.1</v>
      </c>
      <c r="BK1147">
        <v>5</v>
      </c>
      <c r="BL1147">
        <v>76.84</v>
      </c>
      <c r="BM1147">
        <v>11.53</v>
      </c>
      <c r="BN1147">
        <v>88.37</v>
      </c>
      <c r="BO1147">
        <v>88.37</v>
      </c>
      <c r="BQ1147" t="s">
        <v>685</v>
      </c>
      <c r="BR1147" t="s">
        <v>82</v>
      </c>
      <c r="BS1147" s="3">
        <v>46001</v>
      </c>
      <c r="BT1147" s="4">
        <v>0.4909722222222222</v>
      </c>
      <c r="BU1147" t="s">
        <v>1882</v>
      </c>
      <c r="BV1147" t="s">
        <v>84</v>
      </c>
      <c r="BY1147">
        <v>15567.3</v>
      </c>
      <c r="BZ1147" t="s">
        <v>30</v>
      </c>
      <c r="CA1147" t="s">
        <v>1883</v>
      </c>
      <c r="CC1147" t="s">
        <v>177</v>
      </c>
      <c r="CD1147">
        <v>2188</v>
      </c>
      <c r="CE1147" t="s">
        <v>86</v>
      </c>
      <c r="CF1147" s="3">
        <v>46001</v>
      </c>
      <c r="CI1147">
        <v>1</v>
      </c>
      <c r="CJ1147">
        <v>1</v>
      </c>
      <c r="CK1147">
        <v>32</v>
      </c>
      <c r="CL1147" t="s">
        <v>87</v>
      </c>
    </row>
    <row r="1148" spans="1:90" x14ac:dyDescent="0.3">
      <c r="A1148" t="s">
        <v>72</v>
      </c>
      <c r="B1148" t="s">
        <v>73</v>
      </c>
      <c r="C1148" t="s">
        <v>74</v>
      </c>
      <c r="E1148" t="str">
        <f>"080069782025"</f>
        <v>080069782025</v>
      </c>
      <c r="F1148" s="3">
        <v>46000</v>
      </c>
      <c r="G1148">
        <v>202609</v>
      </c>
      <c r="H1148" t="s">
        <v>75</v>
      </c>
      <c r="I1148" t="s">
        <v>76</v>
      </c>
      <c r="J1148" t="s">
        <v>77</v>
      </c>
      <c r="K1148" t="s">
        <v>78</v>
      </c>
      <c r="L1148" t="s">
        <v>176</v>
      </c>
      <c r="M1148" t="s">
        <v>177</v>
      </c>
      <c r="N1148" t="s">
        <v>670</v>
      </c>
      <c r="O1148" t="s">
        <v>89</v>
      </c>
      <c r="P1148" t="str">
        <f>"4170072369                    "</f>
        <v xml:space="preserve">4170072369                    </v>
      </c>
      <c r="Q1148">
        <v>0</v>
      </c>
      <c r="R1148">
        <v>0</v>
      </c>
      <c r="S1148">
        <v>0</v>
      </c>
      <c r="T1148">
        <v>0</v>
      </c>
      <c r="U1148">
        <v>0</v>
      </c>
      <c r="V1148">
        <v>0</v>
      </c>
      <c r="W1148">
        <v>0</v>
      </c>
      <c r="X1148">
        <v>0</v>
      </c>
      <c r="Y1148">
        <v>0</v>
      </c>
      <c r="Z1148">
        <v>0</v>
      </c>
      <c r="AA1148">
        <v>0</v>
      </c>
      <c r="AB1148">
        <v>0</v>
      </c>
      <c r="AC1148">
        <v>0</v>
      </c>
      <c r="AD1148">
        <v>0</v>
      </c>
      <c r="AE1148">
        <v>0</v>
      </c>
      <c r="AF1148">
        <v>0</v>
      </c>
      <c r="AG1148">
        <v>0</v>
      </c>
      <c r="AH1148">
        <v>0</v>
      </c>
      <c r="AI1148">
        <v>0</v>
      </c>
      <c r="AJ1148">
        <v>0</v>
      </c>
      <c r="AK1148">
        <v>0</v>
      </c>
      <c r="AL1148">
        <v>0</v>
      </c>
      <c r="AM1148">
        <v>0</v>
      </c>
      <c r="AN1148">
        <v>0</v>
      </c>
      <c r="AO1148">
        <v>0</v>
      </c>
      <c r="AP1148">
        <v>0</v>
      </c>
      <c r="AQ1148">
        <v>19.940000000000001</v>
      </c>
      <c r="AR1148">
        <v>0</v>
      </c>
      <c r="AS1148">
        <v>0</v>
      </c>
      <c r="AT1148">
        <v>0</v>
      </c>
      <c r="AU1148">
        <v>0</v>
      </c>
      <c r="AV1148">
        <v>0</v>
      </c>
      <c r="AW1148">
        <v>0</v>
      </c>
      <c r="AX1148">
        <v>0</v>
      </c>
      <c r="AY1148">
        <v>0</v>
      </c>
      <c r="AZ1148">
        <v>0</v>
      </c>
      <c r="BA1148">
        <v>0</v>
      </c>
      <c r="BB1148">
        <v>0</v>
      </c>
      <c r="BC1148">
        <v>0</v>
      </c>
      <c r="BD1148">
        <v>0</v>
      </c>
      <c r="BE1148">
        <v>0</v>
      </c>
      <c r="BF1148">
        <v>0</v>
      </c>
      <c r="BG1148">
        <v>0</v>
      </c>
      <c r="BH1148">
        <v>1</v>
      </c>
      <c r="BI1148">
        <v>0.2</v>
      </c>
      <c r="BJ1148">
        <v>1.2</v>
      </c>
      <c r="BK1148">
        <v>2</v>
      </c>
      <c r="BL1148">
        <v>59.42</v>
      </c>
      <c r="BM1148">
        <v>8.91</v>
      </c>
      <c r="BN1148">
        <v>68.33</v>
      </c>
      <c r="BO1148">
        <v>68.33</v>
      </c>
      <c r="BQ1148" t="s">
        <v>1627</v>
      </c>
      <c r="BR1148" t="s">
        <v>82</v>
      </c>
      <c r="BS1148" s="3">
        <v>46001</v>
      </c>
      <c r="BT1148" s="4">
        <v>0.4201388888888889</v>
      </c>
      <c r="BU1148" t="s">
        <v>1628</v>
      </c>
      <c r="BV1148" t="s">
        <v>84</v>
      </c>
      <c r="BY1148">
        <v>5950.8</v>
      </c>
      <c r="CC1148" t="s">
        <v>177</v>
      </c>
      <c r="CD1148">
        <v>2013</v>
      </c>
      <c r="CE1148" t="s">
        <v>86</v>
      </c>
      <c r="CF1148" s="3">
        <v>46002</v>
      </c>
      <c r="CI1148">
        <v>1</v>
      </c>
      <c r="CJ1148">
        <v>1</v>
      </c>
      <c r="CK1148">
        <v>22</v>
      </c>
      <c r="CL1148" t="s">
        <v>87</v>
      </c>
    </row>
    <row r="1149" spans="1:90" x14ac:dyDescent="0.3">
      <c r="A1149" t="s">
        <v>72</v>
      </c>
      <c r="B1149" t="s">
        <v>73</v>
      </c>
      <c r="C1149" t="s">
        <v>74</v>
      </c>
      <c r="E1149" t="str">
        <f>"080069782105"</f>
        <v>080069782105</v>
      </c>
      <c r="F1149" s="3">
        <v>46000</v>
      </c>
      <c r="G1149">
        <v>202609</v>
      </c>
      <c r="H1149" t="s">
        <v>75</v>
      </c>
      <c r="I1149" t="s">
        <v>76</v>
      </c>
      <c r="J1149" t="s">
        <v>77</v>
      </c>
      <c r="K1149" t="s">
        <v>78</v>
      </c>
      <c r="L1149" t="s">
        <v>75</v>
      </c>
      <c r="M1149" t="s">
        <v>76</v>
      </c>
      <c r="N1149" t="s">
        <v>543</v>
      </c>
      <c r="O1149" t="s">
        <v>89</v>
      </c>
      <c r="P1149" t="str">
        <f>"4170072318                    "</f>
        <v xml:space="preserve">4170072318                    </v>
      </c>
      <c r="Q1149">
        <v>0</v>
      </c>
      <c r="R1149">
        <v>0</v>
      </c>
      <c r="S1149">
        <v>0</v>
      </c>
      <c r="T1149">
        <v>0</v>
      </c>
      <c r="U1149">
        <v>0</v>
      </c>
      <c r="V1149">
        <v>0</v>
      </c>
      <c r="W1149">
        <v>0</v>
      </c>
      <c r="X1149">
        <v>0</v>
      </c>
      <c r="Y1149">
        <v>0</v>
      </c>
      <c r="Z1149">
        <v>0</v>
      </c>
      <c r="AA1149">
        <v>0</v>
      </c>
      <c r="AB1149">
        <v>0</v>
      </c>
      <c r="AC1149">
        <v>0</v>
      </c>
      <c r="AD1149">
        <v>0</v>
      </c>
      <c r="AE1149">
        <v>0</v>
      </c>
      <c r="AF1149">
        <v>0</v>
      </c>
      <c r="AG1149">
        <v>0</v>
      </c>
      <c r="AH1149">
        <v>0</v>
      </c>
      <c r="AI1149">
        <v>0</v>
      </c>
      <c r="AJ1149">
        <v>0</v>
      </c>
      <c r="AK1149">
        <v>0</v>
      </c>
      <c r="AL1149">
        <v>0</v>
      </c>
      <c r="AM1149">
        <v>0</v>
      </c>
      <c r="AN1149">
        <v>0</v>
      </c>
      <c r="AO1149">
        <v>0</v>
      </c>
      <c r="AP1149">
        <v>0</v>
      </c>
      <c r="AQ1149">
        <v>19.940000000000001</v>
      </c>
      <c r="AR1149">
        <v>0</v>
      </c>
      <c r="AS1149">
        <v>0</v>
      </c>
      <c r="AT1149">
        <v>0</v>
      </c>
      <c r="AU1149">
        <v>0</v>
      </c>
      <c r="AV1149">
        <v>0</v>
      </c>
      <c r="AW1149">
        <v>0</v>
      </c>
      <c r="AX1149">
        <v>0</v>
      </c>
      <c r="AY1149">
        <v>0</v>
      </c>
      <c r="AZ1149">
        <v>0</v>
      </c>
      <c r="BA1149">
        <v>0</v>
      </c>
      <c r="BB1149">
        <v>0</v>
      </c>
      <c r="BC1149">
        <v>0</v>
      </c>
      <c r="BD1149">
        <v>0</v>
      </c>
      <c r="BE1149">
        <v>0</v>
      </c>
      <c r="BF1149">
        <v>0</v>
      </c>
      <c r="BG1149">
        <v>0</v>
      </c>
      <c r="BH1149">
        <v>1</v>
      </c>
      <c r="BI1149">
        <v>1</v>
      </c>
      <c r="BJ1149">
        <v>0.2</v>
      </c>
      <c r="BK1149">
        <v>1</v>
      </c>
      <c r="BL1149">
        <v>59.42</v>
      </c>
      <c r="BM1149">
        <v>8.91</v>
      </c>
      <c r="BN1149">
        <v>68.33</v>
      </c>
      <c r="BO1149">
        <v>68.33</v>
      </c>
      <c r="BQ1149" t="s">
        <v>544</v>
      </c>
      <c r="BR1149" t="s">
        <v>82</v>
      </c>
      <c r="BS1149" s="3">
        <v>46001</v>
      </c>
      <c r="BT1149" s="4">
        <v>0.4</v>
      </c>
      <c r="BU1149" t="s">
        <v>1884</v>
      </c>
      <c r="BV1149" t="s">
        <v>84</v>
      </c>
      <c r="BY1149">
        <v>1200</v>
      </c>
      <c r="CA1149" t="s">
        <v>1885</v>
      </c>
      <c r="CC1149" t="s">
        <v>76</v>
      </c>
      <c r="CD1149">
        <v>1666</v>
      </c>
      <c r="CE1149" t="s">
        <v>134</v>
      </c>
      <c r="CF1149" s="3">
        <v>46002</v>
      </c>
      <c r="CI1149">
        <v>1</v>
      </c>
      <c r="CJ1149">
        <v>1</v>
      </c>
      <c r="CK1149">
        <v>22</v>
      </c>
      <c r="CL1149" t="s">
        <v>87</v>
      </c>
    </row>
    <row r="1150" spans="1:90" x14ac:dyDescent="0.3">
      <c r="A1150" t="s">
        <v>72</v>
      </c>
      <c r="B1150" t="s">
        <v>73</v>
      </c>
      <c r="C1150" t="s">
        <v>74</v>
      </c>
      <c r="E1150" t="str">
        <f>"080069782164"</f>
        <v>080069782164</v>
      </c>
      <c r="F1150" s="3">
        <v>46000</v>
      </c>
      <c r="G1150">
        <v>202609</v>
      </c>
      <c r="H1150" t="s">
        <v>75</v>
      </c>
      <c r="I1150" t="s">
        <v>76</v>
      </c>
      <c r="J1150" t="s">
        <v>77</v>
      </c>
      <c r="K1150" t="s">
        <v>78</v>
      </c>
      <c r="L1150" t="s">
        <v>482</v>
      </c>
      <c r="M1150" t="s">
        <v>483</v>
      </c>
      <c r="N1150" t="s">
        <v>1886</v>
      </c>
      <c r="O1150" t="s">
        <v>89</v>
      </c>
      <c r="P1150" t="str">
        <f>"4170072360                    "</f>
        <v xml:space="preserve">4170072360                    </v>
      </c>
      <c r="Q1150">
        <v>0</v>
      </c>
      <c r="R1150">
        <v>0</v>
      </c>
      <c r="S1150">
        <v>0</v>
      </c>
      <c r="T1150">
        <v>0</v>
      </c>
      <c r="U1150">
        <v>0</v>
      </c>
      <c r="V1150">
        <v>0</v>
      </c>
      <c r="W1150">
        <v>0</v>
      </c>
      <c r="X1150">
        <v>0</v>
      </c>
      <c r="Y1150">
        <v>0</v>
      </c>
      <c r="Z1150">
        <v>0</v>
      </c>
      <c r="AA1150">
        <v>0</v>
      </c>
      <c r="AB1150">
        <v>0</v>
      </c>
      <c r="AC1150">
        <v>0</v>
      </c>
      <c r="AD1150">
        <v>0</v>
      </c>
      <c r="AE1150">
        <v>0</v>
      </c>
      <c r="AF1150">
        <v>0</v>
      </c>
      <c r="AG1150">
        <v>0</v>
      </c>
      <c r="AH1150">
        <v>0</v>
      </c>
      <c r="AI1150">
        <v>0</v>
      </c>
      <c r="AJ1150">
        <v>0</v>
      </c>
      <c r="AK1150">
        <v>0</v>
      </c>
      <c r="AL1150">
        <v>0</v>
      </c>
      <c r="AM1150">
        <v>0</v>
      </c>
      <c r="AN1150">
        <v>0</v>
      </c>
      <c r="AO1150">
        <v>0</v>
      </c>
      <c r="AP1150">
        <v>0</v>
      </c>
      <c r="AQ1150">
        <v>49.45</v>
      </c>
      <c r="AR1150">
        <v>0</v>
      </c>
      <c r="AS1150">
        <v>0</v>
      </c>
      <c r="AT1150">
        <v>0</v>
      </c>
      <c r="AU1150">
        <v>0</v>
      </c>
      <c r="AV1150">
        <v>0</v>
      </c>
      <c r="AW1150">
        <v>0</v>
      </c>
      <c r="AX1150">
        <v>0</v>
      </c>
      <c r="AY1150">
        <v>0</v>
      </c>
      <c r="AZ1150">
        <v>0</v>
      </c>
      <c r="BA1150">
        <v>0</v>
      </c>
      <c r="BB1150">
        <v>0</v>
      </c>
      <c r="BC1150">
        <v>0</v>
      </c>
      <c r="BD1150">
        <v>0</v>
      </c>
      <c r="BE1150">
        <v>0</v>
      </c>
      <c r="BF1150">
        <v>0</v>
      </c>
      <c r="BG1150">
        <v>0</v>
      </c>
      <c r="BH1150">
        <v>1</v>
      </c>
      <c r="BI1150">
        <v>1</v>
      </c>
      <c r="BJ1150">
        <v>0.2</v>
      </c>
      <c r="BK1150">
        <v>1</v>
      </c>
      <c r="BL1150">
        <v>147.38</v>
      </c>
      <c r="BM1150">
        <v>22.11</v>
      </c>
      <c r="BN1150">
        <v>169.49</v>
      </c>
      <c r="BO1150">
        <v>169.49</v>
      </c>
      <c r="BQ1150" t="s">
        <v>1887</v>
      </c>
      <c r="BR1150" t="s">
        <v>82</v>
      </c>
      <c r="BS1150" s="3">
        <v>46002</v>
      </c>
      <c r="BT1150" s="4">
        <v>0.4375</v>
      </c>
      <c r="BU1150" t="s">
        <v>1888</v>
      </c>
      <c r="BV1150" t="s">
        <v>87</v>
      </c>
      <c r="BW1150" t="s">
        <v>186</v>
      </c>
      <c r="BX1150" t="s">
        <v>1889</v>
      </c>
      <c r="BY1150">
        <v>1200</v>
      </c>
      <c r="CA1150">
        <v>7711215278081</v>
      </c>
      <c r="CC1150" t="s">
        <v>483</v>
      </c>
      <c r="CD1150">
        <v>1871</v>
      </c>
      <c r="CE1150" t="s">
        <v>134</v>
      </c>
      <c r="CI1150">
        <v>1</v>
      </c>
      <c r="CJ1150">
        <v>2</v>
      </c>
      <c r="CK1150">
        <v>23</v>
      </c>
      <c r="CL1150" t="s">
        <v>87</v>
      </c>
    </row>
    <row r="1151" spans="1:90" x14ac:dyDescent="0.3">
      <c r="A1151" t="s">
        <v>72</v>
      </c>
      <c r="B1151" t="s">
        <v>73</v>
      </c>
      <c r="C1151" t="s">
        <v>74</v>
      </c>
      <c r="E1151" t="str">
        <f>"080069782222"</f>
        <v>080069782222</v>
      </c>
      <c r="F1151" s="3">
        <v>46000</v>
      </c>
      <c r="G1151">
        <v>202609</v>
      </c>
      <c r="H1151" t="s">
        <v>75</v>
      </c>
      <c r="I1151" t="s">
        <v>76</v>
      </c>
      <c r="J1151" t="s">
        <v>77</v>
      </c>
      <c r="K1151" t="s">
        <v>78</v>
      </c>
      <c r="L1151" t="s">
        <v>156</v>
      </c>
      <c r="M1151" t="s">
        <v>157</v>
      </c>
      <c r="N1151" t="s">
        <v>158</v>
      </c>
      <c r="O1151" t="s">
        <v>89</v>
      </c>
      <c r="P1151" t="str">
        <f>"4170072526                    "</f>
        <v xml:space="preserve">4170072526                    </v>
      </c>
      <c r="Q1151">
        <v>0</v>
      </c>
      <c r="R1151">
        <v>0</v>
      </c>
      <c r="S1151">
        <v>0</v>
      </c>
      <c r="T1151">
        <v>0</v>
      </c>
      <c r="U1151">
        <v>0</v>
      </c>
      <c r="V1151">
        <v>0</v>
      </c>
      <c r="W1151">
        <v>0</v>
      </c>
      <c r="X1151">
        <v>0</v>
      </c>
      <c r="Y1151">
        <v>0</v>
      </c>
      <c r="Z1151">
        <v>0</v>
      </c>
      <c r="AA1151">
        <v>0</v>
      </c>
      <c r="AB1151">
        <v>0</v>
      </c>
      <c r="AC1151">
        <v>0</v>
      </c>
      <c r="AD1151">
        <v>0</v>
      </c>
      <c r="AE1151">
        <v>0</v>
      </c>
      <c r="AF1151">
        <v>0</v>
      </c>
      <c r="AG1151">
        <v>0</v>
      </c>
      <c r="AH1151">
        <v>0</v>
      </c>
      <c r="AI1151">
        <v>0</v>
      </c>
      <c r="AJ1151">
        <v>0</v>
      </c>
      <c r="AK1151">
        <v>0</v>
      </c>
      <c r="AL1151">
        <v>0</v>
      </c>
      <c r="AM1151">
        <v>0</v>
      </c>
      <c r="AN1151">
        <v>0</v>
      </c>
      <c r="AO1151">
        <v>0</v>
      </c>
      <c r="AP1151">
        <v>0</v>
      </c>
      <c r="AQ1151">
        <v>76.55</v>
      </c>
      <c r="AR1151">
        <v>0</v>
      </c>
      <c r="AS1151">
        <v>0</v>
      </c>
      <c r="AT1151">
        <v>0</v>
      </c>
      <c r="AU1151">
        <v>0</v>
      </c>
      <c r="AV1151">
        <v>0</v>
      </c>
      <c r="AW1151">
        <v>0</v>
      </c>
      <c r="AX1151">
        <v>0</v>
      </c>
      <c r="AY1151">
        <v>0</v>
      </c>
      <c r="AZ1151">
        <v>0</v>
      </c>
      <c r="BA1151">
        <v>0</v>
      </c>
      <c r="BB1151">
        <v>0</v>
      </c>
      <c r="BC1151">
        <v>0</v>
      </c>
      <c r="BD1151">
        <v>0</v>
      </c>
      <c r="BE1151">
        <v>0</v>
      </c>
      <c r="BF1151">
        <v>0</v>
      </c>
      <c r="BG1151">
        <v>0</v>
      </c>
      <c r="BH1151">
        <v>1</v>
      </c>
      <c r="BI1151">
        <v>6</v>
      </c>
      <c r="BJ1151">
        <v>4.3</v>
      </c>
      <c r="BK1151">
        <v>6</v>
      </c>
      <c r="BL1151">
        <v>228.13</v>
      </c>
      <c r="BM1151">
        <v>34.22</v>
      </c>
      <c r="BN1151">
        <v>262.35000000000002</v>
      </c>
      <c r="BO1151">
        <v>262.35000000000002</v>
      </c>
      <c r="BQ1151" t="s">
        <v>159</v>
      </c>
      <c r="BR1151" t="s">
        <v>82</v>
      </c>
      <c r="BS1151" s="3">
        <v>46001</v>
      </c>
      <c r="BT1151" s="4">
        <v>0.43194444444444446</v>
      </c>
      <c r="BU1151" t="s">
        <v>1858</v>
      </c>
      <c r="BV1151" t="s">
        <v>84</v>
      </c>
      <c r="BY1151">
        <v>21489</v>
      </c>
      <c r="CA1151" t="s">
        <v>1217</v>
      </c>
      <c r="CC1151" t="s">
        <v>157</v>
      </c>
      <c r="CD1151">
        <v>7530</v>
      </c>
      <c r="CE1151" t="s">
        <v>86</v>
      </c>
      <c r="CF1151" s="3">
        <v>46002</v>
      </c>
      <c r="CI1151">
        <v>1</v>
      </c>
      <c r="CJ1151">
        <v>1</v>
      </c>
      <c r="CK1151">
        <v>21</v>
      </c>
      <c r="CL1151" t="s">
        <v>87</v>
      </c>
    </row>
    <row r="1152" spans="1:90" x14ac:dyDescent="0.3">
      <c r="A1152" t="s">
        <v>72</v>
      </c>
      <c r="B1152" t="s">
        <v>73</v>
      </c>
      <c r="C1152" t="s">
        <v>74</v>
      </c>
      <c r="E1152" t="str">
        <f>"080069782473"</f>
        <v>080069782473</v>
      </c>
      <c r="F1152" s="3">
        <v>46000</v>
      </c>
      <c r="G1152">
        <v>202609</v>
      </c>
      <c r="H1152" t="s">
        <v>75</v>
      </c>
      <c r="I1152" t="s">
        <v>76</v>
      </c>
      <c r="J1152" t="s">
        <v>77</v>
      </c>
      <c r="K1152" t="s">
        <v>78</v>
      </c>
      <c r="L1152" t="s">
        <v>141</v>
      </c>
      <c r="M1152" t="s">
        <v>142</v>
      </c>
      <c r="N1152" t="s">
        <v>845</v>
      </c>
      <c r="O1152" t="s">
        <v>80</v>
      </c>
      <c r="P1152" t="str">
        <f>"4170072578                    "</f>
        <v xml:space="preserve">4170072578                    </v>
      </c>
      <c r="Q1152">
        <v>0</v>
      </c>
      <c r="R1152">
        <v>0</v>
      </c>
      <c r="S1152">
        <v>0</v>
      </c>
      <c r="T1152">
        <v>0</v>
      </c>
      <c r="U1152">
        <v>0</v>
      </c>
      <c r="V1152">
        <v>0</v>
      </c>
      <c r="W1152">
        <v>0</v>
      </c>
      <c r="X1152">
        <v>0</v>
      </c>
      <c r="Y1152">
        <v>0</v>
      </c>
      <c r="Z1152">
        <v>0</v>
      </c>
      <c r="AA1152">
        <v>0</v>
      </c>
      <c r="AB1152">
        <v>0</v>
      </c>
      <c r="AC1152">
        <v>0</v>
      </c>
      <c r="AD1152">
        <v>0</v>
      </c>
      <c r="AE1152">
        <v>0</v>
      </c>
      <c r="AF1152">
        <v>0</v>
      </c>
      <c r="AG1152">
        <v>0</v>
      </c>
      <c r="AH1152">
        <v>0</v>
      </c>
      <c r="AI1152">
        <v>0</v>
      </c>
      <c r="AJ1152">
        <v>0</v>
      </c>
      <c r="AK1152">
        <v>0</v>
      </c>
      <c r="AL1152">
        <v>0</v>
      </c>
      <c r="AM1152">
        <v>0</v>
      </c>
      <c r="AN1152">
        <v>0</v>
      </c>
      <c r="AO1152">
        <v>0</v>
      </c>
      <c r="AP1152">
        <v>0</v>
      </c>
      <c r="AQ1152">
        <v>71.8</v>
      </c>
      <c r="AR1152">
        <v>0</v>
      </c>
      <c r="AS1152">
        <v>0</v>
      </c>
      <c r="AT1152">
        <v>0</v>
      </c>
      <c r="AU1152">
        <v>0</v>
      </c>
      <c r="AV1152">
        <v>0</v>
      </c>
      <c r="AW1152">
        <v>0</v>
      </c>
      <c r="AX1152">
        <v>0</v>
      </c>
      <c r="AY1152">
        <v>0</v>
      </c>
      <c r="AZ1152">
        <v>0</v>
      </c>
      <c r="BA1152">
        <v>0</v>
      </c>
      <c r="BB1152">
        <v>0</v>
      </c>
      <c r="BC1152">
        <v>0</v>
      </c>
      <c r="BD1152">
        <v>0</v>
      </c>
      <c r="BE1152">
        <v>0</v>
      </c>
      <c r="BF1152">
        <v>0</v>
      </c>
      <c r="BG1152">
        <v>0</v>
      </c>
      <c r="BH1152">
        <v>3</v>
      </c>
      <c r="BI1152">
        <v>25.5</v>
      </c>
      <c r="BJ1152">
        <v>23.3</v>
      </c>
      <c r="BK1152">
        <v>26</v>
      </c>
      <c r="BL1152">
        <v>220.08</v>
      </c>
      <c r="BM1152">
        <v>33.01</v>
      </c>
      <c r="BN1152">
        <v>253.09</v>
      </c>
      <c r="BO1152">
        <v>253.09</v>
      </c>
      <c r="BQ1152" t="s">
        <v>1803</v>
      </c>
      <c r="BR1152" t="s">
        <v>82</v>
      </c>
      <c r="BS1152" s="3">
        <v>46002</v>
      </c>
      <c r="BT1152" s="4">
        <v>0.55833333333333335</v>
      </c>
      <c r="BU1152" t="s">
        <v>1890</v>
      </c>
      <c r="BV1152" t="s">
        <v>84</v>
      </c>
      <c r="BY1152">
        <v>116441.29</v>
      </c>
      <c r="CA1152" t="s">
        <v>1891</v>
      </c>
      <c r="CC1152" t="s">
        <v>142</v>
      </c>
      <c r="CD1152">
        <v>6045</v>
      </c>
      <c r="CE1152" t="s">
        <v>86</v>
      </c>
      <c r="CF1152" s="3">
        <v>46002</v>
      </c>
      <c r="CI1152">
        <v>3</v>
      </c>
      <c r="CJ1152">
        <v>2</v>
      </c>
      <c r="CK1152">
        <v>41</v>
      </c>
      <c r="CL1152" t="s">
        <v>87</v>
      </c>
    </row>
    <row r="1153" spans="1:90" x14ac:dyDescent="0.3">
      <c r="A1153" t="s">
        <v>72</v>
      </c>
      <c r="B1153" t="s">
        <v>73</v>
      </c>
      <c r="C1153" t="s">
        <v>74</v>
      </c>
      <c r="E1153" t="str">
        <f>"080069782496"</f>
        <v>080069782496</v>
      </c>
      <c r="F1153" s="3">
        <v>46000</v>
      </c>
      <c r="G1153">
        <v>202609</v>
      </c>
      <c r="H1153" t="s">
        <v>75</v>
      </c>
      <c r="I1153" t="s">
        <v>76</v>
      </c>
      <c r="J1153" t="s">
        <v>77</v>
      </c>
      <c r="K1153" t="s">
        <v>78</v>
      </c>
      <c r="L1153" t="s">
        <v>1804</v>
      </c>
      <c r="M1153" t="s">
        <v>1805</v>
      </c>
      <c r="N1153" t="s">
        <v>1892</v>
      </c>
      <c r="O1153" t="s">
        <v>80</v>
      </c>
      <c r="P1153" t="str">
        <f>"4170072665                    "</f>
        <v xml:space="preserve">4170072665                    </v>
      </c>
      <c r="Q1153">
        <v>0</v>
      </c>
      <c r="R1153">
        <v>0</v>
      </c>
      <c r="S1153">
        <v>0</v>
      </c>
      <c r="T1153">
        <v>0</v>
      </c>
      <c r="U1153">
        <v>0</v>
      </c>
      <c r="V1153">
        <v>0</v>
      </c>
      <c r="W1153">
        <v>0</v>
      </c>
      <c r="X1153">
        <v>0</v>
      </c>
      <c r="Y1153">
        <v>0</v>
      </c>
      <c r="Z1153">
        <v>0</v>
      </c>
      <c r="AA1153">
        <v>0</v>
      </c>
      <c r="AB1153">
        <v>0</v>
      </c>
      <c r="AC1153">
        <v>0</v>
      </c>
      <c r="AD1153">
        <v>0</v>
      </c>
      <c r="AE1153">
        <v>0</v>
      </c>
      <c r="AF1153">
        <v>0</v>
      </c>
      <c r="AG1153">
        <v>0</v>
      </c>
      <c r="AH1153">
        <v>0</v>
      </c>
      <c r="AI1153">
        <v>0</v>
      </c>
      <c r="AJ1153">
        <v>0</v>
      </c>
      <c r="AK1153">
        <v>0</v>
      </c>
      <c r="AL1153">
        <v>0</v>
      </c>
      <c r="AM1153">
        <v>0</v>
      </c>
      <c r="AN1153">
        <v>0</v>
      </c>
      <c r="AO1153">
        <v>0</v>
      </c>
      <c r="AP1153">
        <v>0</v>
      </c>
      <c r="AQ1153">
        <v>631.34</v>
      </c>
      <c r="AR1153">
        <v>0</v>
      </c>
      <c r="AS1153">
        <v>0</v>
      </c>
      <c r="AT1153">
        <v>0</v>
      </c>
      <c r="AU1153">
        <v>0</v>
      </c>
      <c r="AV1153">
        <v>0</v>
      </c>
      <c r="AW1153">
        <v>0</v>
      </c>
      <c r="AX1153">
        <v>0</v>
      </c>
      <c r="AY1153">
        <v>0</v>
      </c>
      <c r="AZ1153">
        <v>0</v>
      </c>
      <c r="BA1153">
        <v>0</v>
      </c>
      <c r="BB1153">
        <v>0</v>
      </c>
      <c r="BC1153">
        <v>0</v>
      </c>
      <c r="BD1153">
        <v>0</v>
      </c>
      <c r="BE1153">
        <v>0</v>
      </c>
      <c r="BF1153">
        <v>0</v>
      </c>
      <c r="BG1153">
        <v>0</v>
      </c>
      <c r="BH1153">
        <v>1</v>
      </c>
      <c r="BI1153">
        <v>60</v>
      </c>
      <c r="BJ1153">
        <v>172.8</v>
      </c>
      <c r="BK1153">
        <v>173</v>
      </c>
      <c r="BL1153">
        <v>1887.61</v>
      </c>
      <c r="BM1153">
        <v>283.14</v>
      </c>
      <c r="BN1153">
        <v>2170.75</v>
      </c>
      <c r="BO1153">
        <v>2170.75</v>
      </c>
      <c r="BQ1153" t="s">
        <v>1893</v>
      </c>
      <c r="BR1153" t="s">
        <v>82</v>
      </c>
      <c r="BS1153" s="3">
        <v>46001</v>
      </c>
      <c r="BT1153" s="4">
        <v>0.625</v>
      </c>
      <c r="BU1153" t="s">
        <v>1894</v>
      </c>
      <c r="BV1153" t="s">
        <v>84</v>
      </c>
      <c r="BY1153">
        <v>864000</v>
      </c>
      <c r="CC1153" t="s">
        <v>1805</v>
      </c>
      <c r="CD1153">
        <v>1050</v>
      </c>
      <c r="CE1153" t="s">
        <v>567</v>
      </c>
      <c r="CI1153">
        <v>1</v>
      </c>
      <c r="CJ1153">
        <v>1</v>
      </c>
      <c r="CK1153">
        <v>43</v>
      </c>
      <c r="CL1153" t="s">
        <v>87</v>
      </c>
    </row>
    <row r="1154" spans="1:90" x14ac:dyDescent="0.3">
      <c r="A1154" t="s">
        <v>72</v>
      </c>
      <c r="B1154" t="s">
        <v>73</v>
      </c>
      <c r="C1154" t="s">
        <v>74</v>
      </c>
      <c r="E1154" t="str">
        <f>"080069782535"</f>
        <v>080069782535</v>
      </c>
      <c r="F1154" s="3">
        <v>46000</v>
      </c>
      <c r="G1154">
        <v>202609</v>
      </c>
      <c r="H1154" t="s">
        <v>75</v>
      </c>
      <c r="I1154" t="s">
        <v>76</v>
      </c>
      <c r="J1154" t="s">
        <v>77</v>
      </c>
      <c r="K1154" t="s">
        <v>78</v>
      </c>
      <c r="L1154" t="s">
        <v>218</v>
      </c>
      <c r="M1154" t="s">
        <v>219</v>
      </c>
      <c r="N1154" t="s">
        <v>220</v>
      </c>
      <c r="O1154" t="s">
        <v>89</v>
      </c>
      <c r="P1154" t="str">
        <f>"4170072373                    "</f>
        <v xml:space="preserve">4170072373                    </v>
      </c>
      <c r="Q1154">
        <v>0</v>
      </c>
      <c r="R1154">
        <v>0</v>
      </c>
      <c r="S1154">
        <v>0</v>
      </c>
      <c r="T1154">
        <v>0</v>
      </c>
      <c r="U1154">
        <v>0</v>
      </c>
      <c r="V1154">
        <v>0</v>
      </c>
      <c r="W1154">
        <v>0</v>
      </c>
      <c r="X1154">
        <v>0</v>
      </c>
      <c r="Y1154">
        <v>0</v>
      </c>
      <c r="Z1154">
        <v>0</v>
      </c>
      <c r="AA1154">
        <v>0</v>
      </c>
      <c r="AB1154">
        <v>0</v>
      </c>
      <c r="AC1154">
        <v>0</v>
      </c>
      <c r="AD1154">
        <v>0</v>
      </c>
      <c r="AE1154">
        <v>0</v>
      </c>
      <c r="AF1154">
        <v>0</v>
      </c>
      <c r="AG1154">
        <v>0</v>
      </c>
      <c r="AH1154">
        <v>0</v>
      </c>
      <c r="AI1154">
        <v>0</v>
      </c>
      <c r="AJ1154">
        <v>0</v>
      </c>
      <c r="AK1154">
        <v>0</v>
      </c>
      <c r="AL1154">
        <v>0</v>
      </c>
      <c r="AM1154">
        <v>0</v>
      </c>
      <c r="AN1154">
        <v>0</v>
      </c>
      <c r="AO1154">
        <v>0</v>
      </c>
      <c r="AP1154">
        <v>0</v>
      </c>
      <c r="AQ1154">
        <v>49.45</v>
      </c>
      <c r="AR1154">
        <v>0</v>
      </c>
      <c r="AS1154">
        <v>0</v>
      </c>
      <c r="AT1154">
        <v>0</v>
      </c>
      <c r="AU1154">
        <v>0</v>
      </c>
      <c r="AV1154">
        <v>0</v>
      </c>
      <c r="AW1154">
        <v>0</v>
      </c>
      <c r="AX1154">
        <v>0</v>
      </c>
      <c r="AY1154">
        <v>0</v>
      </c>
      <c r="AZ1154">
        <v>0</v>
      </c>
      <c r="BA1154">
        <v>0</v>
      </c>
      <c r="BB1154">
        <v>0</v>
      </c>
      <c r="BC1154">
        <v>0</v>
      </c>
      <c r="BD1154">
        <v>0</v>
      </c>
      <c r="BE1154">
        <v>0</v>
      </c>
      <c r="BF1154">
        <v>0</v>
      </c>
      <c r="BG1154">
        <v>0</v>
      </c>
      <c r="BH1154">
        <v>1</v>
      </c>
      <c r="BI1154">
        <v>1</v>
      </c>
      <c r="BJ1154">
        <v>0.2</v>
      </c>
      <c r="BK1154">
        <v>1</v>
      </c>
      <c r="BL1154">
        <v>147.38</v>
      </c>
      <c r="BM1154">
        <v>22.11</v>
      </c>
      <c r="BN1154">
        <v>169.49</v>
      </c>
      <c r="BO1154">
        <v>169.49</v>
      </c>
      <c r="BQ1154" t="s">
        <v>221</v>
      </c>
      <c r="BR1154" t="s">
        <v>82</v>
      </c>
      <c r="BS1154" s="3">
        <v>46001</v>
      </c>
      <c r="BT1154" s="4">
        <v>0.29166666666666669</v>
      </c>
      <c r="BU1154" t="s">
        <v>1895</v>
      </c>
      <c r="BV1154" t="s">
        <v>84</v>
      </c>
      <c r="BY1154">
        <v>1200</v>
      </c>
      <c r="CA1154" t="s">
        <v>432</v>
      </c>
      <c r="CC1154" t="s">
        <v>219</v>
      </c>
      <c r="CD1154">
        <v>2740</v>
      </c>
      <c r="CE1154" t="s">
        <v>134</v>
      </c>
      <c r="CF1154" s="3">
        <v>46002</v>
      </c>
      <c r="CI1154">
        <v>1</v>
      </c>
      <c r="CJ1154">
        <v>1</v>
      </c>
      <c r="CK1154">
        <v>23</v>
      </c>
      <c r="CL1154" t="s">
        <v>87</v>
      </c>
    </row>
    <row r="1155" spans="1:90" x14ac:dyDescent="0.3">
      <c r="A1155" t="s">
        <v>72</v>
      </c>
      <c r="B1155" t="s">
        <v>73</v>
      </c>
      <c r="C1155" t="s">
        <v>74</v>
      </c>
      <c r="E1155" t="str">
        <f>"080069782560"</f>
        <v>080069782560</v>
      </c>
      <c r="F1155" s="3">
        <v>46000</v>
      </c>
      <c r="G1155">
        <v>202609</v>
      </c>
      <c r="H1155" t="s">
        <v>75</v>
      </c>
      <c r="I1155" t="s">
        <v>76</v>
      </c>
      <c r="J1155" t="s">
        <v>77</v>
      </c>
      <c r="K1155" t="s">
        <v>78</v>
      </c>
      <c r="L1155" t="s">
        <v>141</v>
      </c>
      <c r="M1155" t="s">
        <v>142</v>
      </c>
      <c r="N1155" t="s">
        <v>798</v>
      </c>
      <c r="O1155" t="s">
        <v>80</v>
      </c>
      <c r="P1155" t="str">
        <f>"4170072391                    "</f>
        <v xml:space="preserve">4170072391                    </v>
      </c>
      <c r="Q1155">
        <v>0</v>
      </c>
      <c r="R1155">
        <v>0</v>
      </c>
      <c r="S1155">
        <v>0</v>
      </c>
      <c r="T1155">
        <v>0</v>
      </c>
      <c r="U1155">
        <v>0</v>
      </c>
      <c r="V1155">
        <v>0</v>
      </c>
      <c r="W1155">
        <v>0</v>
      </c>
      <c r="X1155">
        <v>0</v>
      </c>
      <c r="Y1155">
        <v>0</v>
      </c>
      <c r="Z1155">
        <v>0</v>
      </c>
      <c r="AA1155">
        <v>0</v>
      </c>
      <c r="AB1155">
        <v>0</v>
      </c>
      <c r="AC1155">
        <v>0</v>
      </c>
      <c r="AD1155">
        <v>0</v>
      </c>
      <c r="AE1155">
        <v>0</v>
      </c>
      <c r="AF1155">
        <v>0</v>
      </c>
      <c r="AG1155">
        <v>0</v>
      </c>
      <c r="AH1155">
        <v>0</v>
      </c>
      <c r="AI1155">
        <v>0</v>
      </c>
      <c r="AJ1155">
        <v>0</v>
      </c>
      <c r="AK1155">
        <v>0</v>
      </c>
      <c r="AL1155">
        <v>0</v>
      </c>
      <c r="AM1155">
        <v>0</v>
      </c>
      <c r="AN1155">
        <v>0</v>
      </c>
      <c r="AO1155">
        <v>0</v>
      </c>
      <c r="AP1155">
        <v>0</v>
      </c>
      <c r="AQ1155">
        <v>88.12</v>
      </c>
      <c r="AR1155">
        <v>0</v>
      </c>
      <c r="AS1155">
        <v>0</v>
      </c>
      <c r="AT1155">
        <v>0</v>
      </c>
      <c r="AU1155">
        <v>0</v>
      </c>
      <c r="AV1155">
        <v>0</v>
      </c>
      <c r="AW1155">
        <v>0</v>
      </c>
      <c r="AX1155">
        <v>0</v>
      </c>
      <c r="AY1155">
        <v>0</v>
      </c>
      <c r="AZ1155">
        <v>0</v>
      </c>
      <c r="BA1155">
        <v>0</v>
      </c>
      <c r="BB1155">
        <v>0</v>
      </c>
      <c r="BC1155">
        <v>0</v>
      </c>
      <c r="BD1155">
        <v>0</v>
      </c>
      <c r="BE1155">
        <v>0</v>
      </c>
      <c r="BF1155">
        <v>0</v>
      </c>
      <c r="BG1155">
        <v>0</v>
      </c>
      <c r="BH1155">
        <v>2</v>
      </c>
      <c r="BI1155">
        <v>33.299999999999997</v>
      </c>
      <c r="BJ1155">
        <v>28.9</v>
      </c>
      <c r="BK1155">
        <v>34</v>
      </c>
      <c r="BL1155">
        <v>268.72000000000003</v>
      </c>
      <c r="BM1155">
        <v>40.31</v>
      </c>
      <c r="BN1155">
        <v>309.02999999999997</v>
      </c>
      <c r="BO1155">
        <v>309.02999999999997</v>
      </c>
      <c r="BQ1155" t="s">
        <v>799</v>
      </c>
      <c r="BR1155" t="s">
        <v>82</v>
      </c>
      <c r="BS1155" s="3">
        <v>46002</v>
      </c>
      <c r="BT1155" s="4">
        <v>0.41875000000000001</v>
      </c>
      <c r="BU1155" t="s">
        <v>1152</v>
      </c>
      <c r="BV1155" t="s">
        <v>84</v>
      </c>
      <c r="BY1155">
        <v>144297.54</v>
      </c>
      <c r="CA1155" t="s">
        <v>277</v>
      </c>
      <c r="CC1155" t="s">
        <v>142</v>
      </c>
      <c r="CD1155">
        <v>6001</v>
      </c>
      <c r="CE1155" t="s">
        <v>86</v>
      </c>
      <c r="CF1155" s="3">
        <v>46002</v>
      </c>
      <c r="CI1155">
        <v>3</v>
      </c>
      <c r="CJ1155">
        <v>2</v>
      </c>
      <c r="CK1155">
        <v>41</v>
      </c>
      <c r="CL1155" t="s">
        <v>87</v>
      </c>
    </row>
    <row r="1156" spans="1:90" x14ac:dyDescent="0.3">
      <c r="A1156" t="s">
        <v>72</v>
      </c>
      <c r="B1156" t="s">
        <v>73</v>
      </c>
      <c r="C1156" t="s">
        <v>74</v>
      </c>
      <c r="E1156" t="str">
        <f>"080069782780"</f>
        <v>080069782780</v>
      </c>
      <c r="F1156" s="3">
        <v>46000</v>
      </c>
      <c r="G1156">
        <v>202609</v>
      </c>
      <c r="H1156" t="s">
        <v>75</v>
      </c>
      <c r="I1156" t="s">
        <v>76</v>
      </c>
      <c r="J1156" t="s">
        <v>77</v>
      </c>
      <c r="K1156" t="s">
        <v>78</v>
      </c>
      <c r="L1156" t="s">
        <v>189</v>
      </c>
      <c r="M1156" t="s">
        <v>190</v>
      </c>
      <c r="N1156" t="s">
        <v>791</v>
      </c>
      <c r="O1156" t="s">
        <v>89</v>
      </c>
      <c r="P1156" t="str">
        <f>"4170072589                    "</f>
        <v xml:space="preserve">4170072589                    </v>
      </c>
      <c r="Q1156">
        <v>0</v>
      </c>
      <c r="R1156">
        <v>0</v>
      </c>
      <c r="S1156">
        <v>0</v>
      </c>
      <c r="T1156">
        <v>0</v>
      </c>
      <c r="U1156">
        <v>0</v>
      </c>
      <c r="V1156">
        <v>0</v>
      </c>
      <c r="W1156">
        <v>0</v>
      </c>
      <c r="X1156">
        <v>0</v>
      </c>
      <c r="Y1156">
        <v>0</v>
      </c>
      <c r="Z1156">
        <v>0</v>
      </c>
      <c r="AA1156">
        <v>0</v>
      </c>
      <c r="AB1156">
        <v>0</v>
      </c>
      <c r="AC1156">
        <v>0</v>
      </c>
      <c r="AD1156">
        <v>0</v>
      </c>
      <c r="AE1156">
        <v>0</v>
      </c>
      <c r="AF1156">
        <v>0</v>
      </c>
      <c r="AG1156">
        <v>0</v>
      </c>
      <c r="AH1156">
        <v>0</v>
      </c>
      <c r="AI1156">
        <v>0</v>
      </c>
      <c r="AJ1156">
        <v>0</v>
      </c>
      <c r="AK1156">
        <v>0</v>
      </c>
      <c r="AL1156">
        <v>0</v>
      </c>
      <c r="AM1156">
        <v>0</v>
      </c>
      <c r="AN1156">
        <v>0</v>
      </c>
      <c r="AO1156">
        <v>0</v>
      </c>
      <c r="AP1156">
        <v>0</v>
      </c>
      <c r="AQ1156">
        <v>25.52</v>
      </c>
      <c r="AR1156">
        <v>0</v>
      </c>
      <c r="AS1156">
        <v>0</v>
      </c>
      <c r="AT1156">
        <v>0</v>
      </c>
      <c r="AU1156">
        <v>0</v>
      </c>
      <c r="AV1156">
        <v>0</v>
      </c>
      <c r="AW1156">
        <v>0</v>
      </c>
      <c r="AX1156">
        <v>0</v>
      </c>
      <c r="AY1156">
        <v>0</v>
      </c>
      <c r="AZ1156">
        <v>0</v>
      </c>
      <c r="BA1156">
        <v>0</v>
      </c>
      <c r="BB1156">
        <v>0</v>
      </c>
      <c r="BC1156">
        <v>0</v>
      </c>
      <c r="BD1156">
        <v>0</v>
      </c>
      <c r="BE1156">
        <v>0</v>
      </c>
      <c r="BF1156">
        <v>0</v>
      </c>
      <c r="BG1156">
        <v>0</v>
      </c>
      <c r="BH1156">
        <v>1</v>
      </c>
      <c r="BI1156">
        <v>1</v>
      </c>
      <c r="BJ1156">
        <v>0.2</v>
      </c>
      <c r="BK1156">
        <v>1</v>
      </c>
      <c r="BL1156">
        <v>76.06</v>
      </c>
      <c r="BM1156">
        <v>11.41</v>
      </c>
      <c r="BN1156">
        <v>87.47</v>
      </c>
      <c r="BO1156">
        <v>87.47</v>
      </c>
      <c r="BQ1156" t="s">
        <v>792</v>
      </c>
      <c r="BR1156" t="s">
        <v>82</v>
      </c>
      <c r="BS1156" s="3">
        <v>46002</v>
      </c>
      <c r="BT1156" s="4">
        <v>0.42152777777777778</v>
      </c>
      <c r="BU1156" t="s">
        <v>1896</v>
      </c>
      <c r="BV1156" t="s">
        <v>87</v>
      </c>
      <c r="BY1156">
        <v>1200</v>
      </c>
      <c r="CA1156" t="s">
        <v>794</v>
      </c>
      <c r="CC1156" t="s">
        <v>190</v>
      </c>
      <c r="CD1156">
        <v>3201</v>
      </c>
      <c r="CE1156" t="s">
        <v>134</v>
      </c>
      <c r="CI1156">
        <v>1</v>
      </c>
      <c r="CJ1156">
        <v>2</v>
      </c>
      <c r="CK1156">
        <v>21</v>
      </c>
      <c r="CL1156" t="s">
        <v>87</v>
      </c>
    </row>
    <row r="1157" spans="1:90" x14ac:dyDescent="0.3">
      <c r="A1157" t="s">
        <v>72</v>
      </c>
      <c r="B1157" t="s">
        <v>73</v>
      </c>
      <c r="C1157" t="s">
        <v>74</v>
      </c>
      <c r="E1157" t="str">
        <f>"080069782816"</f>
        <v>080069782816</v>
      </c>
      <c r="F1157" s="3">
        <v>46000</v>
      </c>
      <c r="G1157">
        <v>202609</v>
      </c>
      <c r="H1157" t="s">
        <v>75</v>
      </c>
      <c r="I1157" t="s">
        <v>76</v>
      </c>
      <c r="J1157" t="s">
        <v>77</v>
      </c>
      <c r="K1157" t="s">
        <v>78</v>
      </c>
      <c r="L1157" t="s">
        <v>169</v>
      </c>
      <c r="M1157" t="s">
        <v>170</v>
      </c>
      <c r="N1157" t="s">
        <v>171</v>
      </c>
      <c r="O1157" t="s">
        <v>89</v>
      </c>
      <c r="P1157" t="str">
        <f>"4170072393                    "</f>
        <v xml:space="preserve">4170072393                    </v>
      </c>
      <c r="Q1157">
        <v>0</v>
      </c>
      <c r="R1157">
        <v>0</v>
      </c>
      <c r="S1157">
        <v>0</v>
      </c>
      <c r="T1157">
        <v>0</v>
      </c>
      <c r="U1157">
        <v>0</v>
      </c>
      <c r="V1157">
        <v>0</v>
      </c>
      <c r="W1157">
        <v>0</v>
      </c>
      <c r="X1157">
        <v>0</v>
      </c>
      <c r="Y1157">
        <v>0</v>
      </c>
      <c r="Z1157">
        <v>0</v>
      </c>
      <c r="AA1157">
        <v>0</v>
      </c>
      <c r="AB1157">
        <v>0</v>
      </c>
      <c r="AC1157">
        <v>0</v>
      </c>
      <c r="AD1157">
        <v>0</v>
      </c>
      <c r="AE1157">
        <v>0</v>
      </c>
      <c r="AF1157">
        <v>0</v>
      </c>
      <c r="AG1157">
        <v>0</v>
      </c>
      <c r="AH1157">
        <v>0</v>
      </c>
      <c r="AI1157">
        <v>0</v>
      </c>
      <c r="AJ1157">
        <v>0</v>
      </c>
      <c r="AK1157">
        <v>0</v>
      </c>
      <c r="AL1157">
        <v>0</v>
      </c>
      <c r="AM1157">
        <v>0</v>
      </c>
      <c r="AN1157">
        <v>0</v>
      </c>
      <c r="AO1157">
        <v>0</v>
      </c>
      <c r="AP1157">
        <v>0</v>
      </c>
      <c r="AQ1157">
        <v>49.45</v>
      </c>
      <c r="AR1157">
        <v>0</v>
      </c>
      <c r="AS1157">
        <v>0</v>
      </c>
      <c r="AT1157">
        <v>0</v>
      </c>
      <c r="AU1157">
        <v>0</v>
      </c>
      <c r="AV1157">
        <v>0</v>
      </c>
      <c r="AW1157">
        <v>0</v>
      </c>
      <c r="AX1157">
        <v>0</v>
      </c>
      <c r="AY1157">
        <v>0</v>
      </c>
      <c r="AZ1157">
        <v>0</v>
      </c>
      <c r="BA1157">
        <v>0</v>
      </c>
      <c r="BB1157">
        <v>0</v>
      </c>
      <c r="BC1157">
        <v>0</v>
      </c>
      <c r="BD1157">
        <v>0</v>
      </c>
      <c r="BE1157">
        <v>0</v>
      </c>
      <c r="BF1157">
        <v>0</v>
      </c>
      <c r="BG1157">
        <v>0</v>
      </c>
      <c r="BH1157">
        <v>1</v>
      </c>
      <c r="BI1157">
        <v>1</v>
      </c>
      <c r="BJ1157">
        <v>0.2</v>
      </c>
      <c r="BK1157">
        <v>1</v>
      </c>
      <c r="BL1157">
        <v>147.38</v>
      </c>
      <c r="BM1157">
        <v>22.11</v>
      </c>
      <c r="BN1157">
        <v>169.49</v>
      </c>
      <c r="BO1157">
        <v>169.49</v>
      </c>
      <c r="BQ1157" t="s">
        <v>172</v>
      </c>
      <c r="BR1157" t="s">
        <v>82</v>
      </c>
      <c r="BS1157" s="3">
        <v>46001</v>
      </c>
      <c r="BT1157" s="4">
        <v>0.61736111111111114</v>
      </c>
      <c r="BU1157" t="s">
        <v>1897</v>
      </c>
      <c r="BV1157" t="s">
        <v>84</v>
      </c>
      <c r="BY1157">
        <v>1200</v>
      </c>
      <c r="CA1157">
        <v>8410105735081</v>
      </c>
      <c r="CC1157" t="s">
        <v>170</v>
      </c>
      <c r="CD1157">
        <v>1028</v>
      </c>
      <c r="CE1157" t="s">
        <v>134</v>
      </c>
      <c r="CF1157" s="3">
        <v>46001</v>
      </c>
      <c r="CI1157">
        <v>1</v>
      </c>
      <c r="CJ1157">
        <v>1</v>
      </c>
      <c r="CK1157">
        <v>23</v>
      </c>
      <c r="CL1157" t="s">
        <v>87</v>
      </c>
    </row>
    <row r="1158" spans="1:90" x14ac:dyDescent="0.3">
      <c r="A1158" t="s">
        <v>72</v>
      </c>
      <c r="B1158" t="s">
        <v>73</v>
      </c>
      <c r="C1158" t="s">
        <v>74</v>
      </c>
      <c r="E1158" t="str">
        <f>"080069783488"</f>
        <v>080069783488</v>
      </c>
      <c r="F1158" s="3">
        <v>46000</v>
      </c>
      <c r="G1158">
        <v>202609</v>
      </c>
      <c r="H1158" t="s">
        <v>75</v>
      </c>
      <c r="I1158" t="s">
        <v>76</v>
      </c>
      <c r="J1158" t="s">
        <v>77</v>
      </c>
      <c r="K1158" t="s">
        <v>78</v>
      </c>
      <c r="L1158" t="s">
        <v>156</v>
      </c>
      <c r="M1158" t="s">
        <v>157</v>
      </c>
      <c r="N1158" t="s">
        <v>261</v>
      </c>
      <c r="O1158" t="s">
        <v>89</v>
      </c>
      <c r="P1158" t="str">
        <f>"4170072595                    "</f>
        <v xml:space="preserve">4170072595                    </v>
      </c>
      <c r="Q1158">
        <v>0</v>
      </c>
      <c r="R1158">
        <v>0</v>
      </c>
      <c r="S1158">
        <v>0</v>
      </c>
      <c r="T1158">
        <v>0</v>
      </c>
      <c r="U1158">
        <v>0</v>
      </c>
      <c r="V1158">
        <v>0</v>
      </c>
      <c r="W1158">
        <v>0</v>
      </c>
      <c r="X1158">
        <v>0</v>
      </c>
      <c r="Y1158">
        <v>0</v>
      </c>
      <c r="Z1158">
        <v>0</v>
      </c>
      <c r="AA1158">
        <v>0</v>
      </c>
      <c r="AB1158">
        <v>0</v>
      </c>
      <c r="AC1158">
        <v>0</v>
      </c>
      <c r="AD1158">
        <v>0</v>
      </c>
      <c r="AE1158">
        <v>0</v>
      </c>
      <c r="AF1158">
        <v>0</v>
      </c>
      <c r="AG1158">
        <v>0</v>
      </c>
      <c r="AH1158">
        <v>0</v>
      </c>
      <c r="AI1158">
        <v>0</v>
      </c>
      <c r="AJ1158">
        <v>0</v>
      </c>
      <c r="AK1158">
        <v>0</v>
      </c>
      <c r="AL1158">
        <v>0</v>
      </c>
      <c r="AM1158">
        <v>0</v>
      </c>
      <c r="AN1158">
        <v>0</v>
      </c>
      <c r="AO1158">
        <v>0</v>
      </c>
      <c r="AP1158">
        <v>0</v>
      </c>
      <c r="AQ1158">
        <v>25.52</v>
      </c>
      <c r="AR1158">
        <v>0</v>
      </c>
      <c r="AS1158">
        <v>0</v>
      </c>
      <c r="AT1158">
        <v>0</v>
      </c>
      <c r="AU1158">
        <v>0</v>
      </c>
      <c r="AV1158">
        <v>0</v>
      </c>
      <c r="AW1158">
        <v>0</v>
      </c>
      <c r="AX1158">
        <v>0</v>
      </c>
      <c r="AY1158">
        <v>0</v>
      </c>
      <c r="AZ1158">
        <v>0</v>
      </c>
      <c r="BA1158">
        <v>0</v>
      </c>
      <c r="BB1158">
        <v>0</v>
      </c>
      <c r="BC1158">
        <v>0</v>
      </c>
      <c r="BD1158">
        <v>0</v>
      </c>
      <c r="BE1158">
        <v>0</v>
      </c>
      <c r="BF1158">
        <v>0</v>
      </c>
      <c r="BG1158">
        <v>0</v>
      </c>
      <c r="BH1158">
        <v>1</v>
      </c>
      <c r="BI1158">
        <v>1</v>
      </c>
      <c r="BJ1158">
        <v>0.2</v>
      </c>
      <c r="BK1158">
        <v>1</v>
      </c>
      <c r="BL1158">
        <v>76.06</v>
      </c>
      <c r="BM1158">
        <v>11.41</v>
      </c>
      <c r="BN1158">
        <v>87.47</v>
      </c>
      <c r="BO1158">
        <v>87.47</v>
      </c>
      <c r="BQ1158" t="s">
        <v>262</v>
      </c>
      <c r="BR1158" t="s">
        <v>82</v>
      </c>
      <c r="BS1158" s="3">
        <v>46001</v>
      </c>
      <c r="BT1158" s="4">
        <v>0.39583333333333331</v>
      </c>
      <c r="BU1158" t="s">
        <v>1346</v>
      </c>
      <c r="BV1158" t="s">
        <v>84</v>
      </c>
      <c r="BY1158">
        <v>1200</v>
      </c>
      <c r="CA1158" t="s">
        <v>264</v>
      </c>
      <c r="CC1158" t="s">
        <v>157</v>
      </c>
      <c r="CD1158">
        <v>7441</v>
      </c>
      <c r="CE1158" t="s">
        <v>134</v>
      </c>
      <c r="CF1158" s="3">
        <v>46002</v>
      </c>
      <c r="CI1158">
        <v>1</v>
      </c>
      <c r="CJ1158">
        <v>1</v>
      </c>
      <c r="CK1158">
        <v>21</v>
      </c>
      <c r="CL1158" t="s">
        <v>87</v>
      </c>
    </row>
    <row r="1159" spans="1:90" x14ac:dyDescent="0.3">
      <c r="A1159" t="s">
        <v>72</v>
      </c>
      <c r="B1159" t="s">
        <v>73</v>
      </c>
      <c r="C1159" t="s">
        <v>74</v>
      </c>
      <c r="E1159" t="str">
        <f>"080069783539"</f>
        <v>080069783539</v>
      </c>
      <c r="F1159" s="3">
        <v>46000</v>
      </c>
      <c r="G1159">
        <v>202609</v>
      </c>
      <c r="H1159" t="s">
        <v>75</v>
      </c>
      <c r="I1159" t="s">
        <v>76</v>
      </c>
      <c r="J1159" t="s">
        <v>77</v>
      </c>
      <c r="K1159" t="s">
        <v>78</v>
      </c>
      <c r="L1159" t="s">
        <v>141</v>
      </c>
      <c r="M1159" t="s">
        <v>142</v>
      </c>
      <c r="N1159" t="s">
        <v>587</v>
      </c>
      <c r="O1159" t="s">
        <v>89</v>
      </c>
      <c r="P1159" t="str">
        <f>"4170072642                    "</f>
        <v xml:space="preserve">4170072642                    </v>
      </c>
      <c r="Q1159">
        <v>0</v>
      </c>
      <c r="R1159">
        <v>0</v>
      </c>
      <c r="S1159">
        <v>0</v>
      </c>
      <c r="T1159">
        <v>0</v>
      </c>
      <c r="U1159">
        <v>0</v>
      </c>
      <c r="V1159">
        <v>0</v>
      </c>
      <c r="W1159">
        <v>0</v>
      </c>
      <c r="X1159">
        <v>0</v>
      </c>
      <c r="Y1159">
        <v>0</v>
      </c>
      <c r="Z1159">
        <v>0</v>
      </c>
      <c r="AA1159">
        <v>0</v>
      </c>
      <c r="AB1159">
        <v>0</v>
      </c>
      <c r="AC1159">
        <v>0</v>
      </c>
      <c r="AD1159">
        <v>0</v>
      </c>
      <c r="AE1159">
        <v>0</v>
      </c>
      <c r="AF1159">
        <v>0</v>
      </c>
      <c r="AG1159">
        <v>0</v>
      </c>
      <c r="AH1159">
        <v>0</v>
      </c>
      <c r="AI1159">
        <v>0</v>
      </c>
      <c r="AJ1159">
        <v>0</v>
      </c>
      <c r="AK1159">
        <v>0</v>
      </c>
      <c r="AL1159">
        <v>0</v>
      </c>
      <c r="AM1159">
        <v>0</v>
      </c>
      <c r="AN1159">
        <v>0</v>
      </c>
      <c r="AO1159">
        <v>0</v>
      </c>
      <c r="AP1159">
        <v>0</v>
      </c>
      <c r="AQ1159">
        <v>25.52</v>
      </c>
      <c r="AR1159">
        <v>0</v>
      </c>
      <c r="AS1159">
        <v>0</v>
      </c>
      <c r="AT1159">
        <v>0</v>
      </c>
      <c r="AU1159">
        <v>0</v>
      </c>
      <c r="AV1159">
        <v>0</v>
      </c>
      <c r="AW1159">
        <v>0</v>
      </c>
      <c r="AX1159">
        <v>0</v>
      </c>
      <c r="AY1159">
        <v>0</v>
      </c>
      <c r="AZ1159">
        <v>0</v>
      </c>
      <c r="BA1159">
        <v>0</v>
      </c>
      <c r="BB1159">
        <v>0</v>
      </c>
      <c r="BC1159">
        <v>0</v>
      </c>
      <c r="BD1159">
        <v>0</v>
      </c>
      <c r="BE1159">
        <v>0</v>
      </c>
      <c r="BF1159">
        <v>0</v>
      </c>
      <c r="BG1159">
        <v>0</v>
      </c>
      <c r="BH1159">
        <v>1</v>
      </c>
      <c r="BI1159">
        <v>1</v>
      </c>
      <c r="BJ1159">
        <v>0.2</v>
      </c>
      <c r="BK1159">
        <v>1</v>
      </c>
      <c r="BL1159">
        <v>76.06</v>
      </c>
      <c r="BM1159">
        <v>11.41</v>
      </c>
      <c r="BN1159">
        <v>87.47</v>
      </c>
      <c r="BO1159">
        <v>87.47</v>
      </c>
      <c r="BQ1159" t="s">
        <v>588</v>
      </c>
      <c r="BR1159" t="s">
        <v>82</v>
      </c>
      <c r="BS1159" s="3">
        <v>46001</v>
      </c>
      <c r="BT1159" s="4">
        <v>0.40347222222222223</v>
      </c>
      <c r="BU1159" t="s">
        <v>1898</v>
      </c>
      <c r="BV1159" t="s">
        <v>84</v>
      </c>
      <c r="BY1159">
        <v>1200</v>
      </c>
      <c r="CA1159" t="s">
        <v>571</v>
      </c>
      <c r="CC1159" t="s">
        <v>142</v>
      </c>
      <c r="CD1159">
        <v>6001</v>
      </c>
      <c r="CE1159" t="s">
        <v>134</v>
      </c>
      <c r="CI1159">
        <v>1</v>
      </c>
      <c r="CJ1159">
        <v>1</v>
      </c>
      <c r="CK1159">
        <v>21</v>
      </c>
      <c r="CL1159" t="s">
        <v>87</v>
      </c>
    </row>
    <row r="1160" spans="1:90" x14ac:dyDescent="0.3">
      <c r="A1160" t="s">
        <v>72</v>
      </c>
      <c r="B1160" t="s">
        <v>73</v>
      </c>
      <c r="C1160" t="s">
        <v>74</v>
      </c>
      <c r="E1160" t="str">
        <f>"080069783581"</f>
        <v>080069783581</v>
      </c>
      <c r="F1160" s="3">
        <v>46000</v>
      </c>
      <c r="G1160">
        <v>202609</v>
      </c>
      <c r="H1160" t="s">
        <v>75</v>
      </c>
      <c r="I1160" t="s">
        <v>76</v>
      </c>
      <c r="J1160" t="s">
        <v>77</v>
      </c>
      <c r="K1160" t="s">
        <v>78</v>
      </c>
      <c r="L1160" t="s">
        <v>302</v>
      </c>
      <c r="M1160" t="s">
        <v>303</v>
      </c>
      <c r="N1160" t="s">
        <v>1169</v>
      </c>
      <c r="O1160" t="s">
        <v>89</v>
      </c>
      <c r="P1160" t="str">
        <f>"4170072607                    "</f>
        <v xml:space="preserve">4170072607                    </v>
      </c>
      <c r="Q1160">
        <v>0</v>
      </c>
      <c r="R1160">
        <v>0</v>
      </c>
      <c r="S1160">
        <v>0</v>
      </c>
      <c r="T1160">
        <v>0</v>
      </c>
      <c r="U1160">
        <v>0</v>
      </c>
      <c r="V1160">
        <v>0</v>
      </c>
      <c r="W1160">
        <v>0</v>
      </c>
      <c r="X1160">
        <v>0</v>
      </c>
      <c r="Y1160">
        <v>0</v>
      </c>
      <c r="Z1160">
        <v>0</v>
      </c>
      <c r="AA1160">
        <v>0</v>
      </c>
      <c r="AB1160">
        <v>0</v>
      </c>
      <c r="AC1160">
        <v>0</v>
      </c>
      <c r="AD1160">
        <v>0</v>
      </c>
      <c r="AE1160">
        <v>0</v>
      </c>
      <c r="AF1160">
        <v>0</v>
      </c>
      <c r="AG1160">
        <v>0</v>
      </c>
      <c r="AH1160">
        <v>0</v>
      </c>
      <c r="AI1160">
        <v>0</v>
      </c>
      <c r="AJ1160">
        <v>0</v>
      </c>
      <c r="AK1160">
        <v>0</v>
      </c>
      <c r="AL1160">
        <v>0</v>
      </c>
      <c r="AM1160">
        <v>0</v>
      </c>
      <c r="AN1160">
        <v>0</v>
      </c>
      <c r="AO1160">
        <v>0</v>
      </c>
      <c r="AP1160">
        <v>0</v>
      </c>
      <c r="AQ1160">
        <v>25.52</v>
      </c>
      <c r="AR1160">
        <v>0</v>
      </c>
      <c r="AS1160">
        <v>0</v>
      </c>
      <c r="AT1160">
        <v>0</v>
      </c>
      <c r="AU1160">
        <v>0</v>
      </c>
      <c r="AV1160">
        <v>0</v>
      </c>
      <c r="AW1160">
        <v>0</v>
      </c>
      <c r="AX1160">
        <v>0</v>
      </c>
      <c r="AY1160">
        <v>0</v>
      </c>
      <c r="AZ1160">
        <v>0</v>
      </c>
      <c r="BA1160">
        <v>0</v>
      </c>
      <c r="BB1160">
        <v>0</v>
      </c>
      <c r="BC1160">
        <v>0</v>
      </c>
      <c r="BD1160">
        <v>0</v>
      </c>
      <c r="BE1160">
        <v>0</v>
      </c>
      <c r="BF1160">
        <v>0</v>
      </c>
      <c r="BG1160">
        <v>0</v>
      </c>
      <c r="BH1160">
        <v>1</v>
      </c>
      <c r="BI1160">
        <v>1</v>
      </c>
      <c r="BJ1160">
        <v>0.2</v>
      </c>
      <c r="BK1160">
        <v>1</v>
      </c>
      <c r="BL1160">
        <v>76.06</v>
      </c>
      <c r="BM1160">
        <v>11.41</v>
      </c>
      <c r="BN1160">
        <v>87.47</v>
      </c>
      <c r="BO1160">
        <v>87.47</v>
      </c>
      <c r="BQ1160" t="s">
        <v>1170</v>
      </c>
      <c r="BR1160" t="s">
        <v>82</v>
      </c>
      <c r="BS1160" s="3">
        <v>46001</v>
      </c>
      <c r="BT1160" s="4">
        <v>0.4548611111111111</v>
      </c>
      <c r="BU1160" t="s">
        <v>1899</v>
      </c>
      <c r="BV1160" t="s">
        <v>84</v>
      </c>
      <c r="BY1160">
        <v>1200</v>
      </c>
      <c r="CA1160">
        <v>8110305701087</v>
      </c>
      <c r="CC1160" t="s">
        <v>303</v>
      </c>
      <c r="CD1160" s="5" t="s">
        <v>933</v>
      </c>
      <c r="CE1160" t="s">
        <v>134</v>
      </c>
      <c r="CF1160" s="3">
        <v>46001</v>
      </c>
      <c r="CI1160">
        <v>1</v>
      </c>
      <c r="CJ1160">
        <v>1</v>
      </c>
      <c r="CK1160">
        <v>21</v>
      </c>
      <c r="CL1160" t="s">
        <v>87</v>
      </c>
    </row>
    <row r="1161" spans="1:90" x14ac:dyDescent="0.3">
      <c r="A1161" t="s">
        <v>72</v>
      </c>
      <c r="B1161" t="s">
        <v>73</v>
      </c>
      <c r="C1161" t="s">
        <v>74</v>
      </c>
      <c r="E1161" t="str">
        <f>"080069783771"</f>
        <v>080069783771</v>
      </c>
      <c r="F1161" s="3">
        <v>46000</v>
      </c>
      <c r="G1161">
        <v>202609</v>
      </c>
      <c r="H1161" t="s">
        <v>75</v>
      </c>
      <c r="I1161" t="s">
        <v>76</v>
      </c>
      <c r="J1161" t="s">
        <v>77</v>
      </c>
      <c r="K1161" t="s">
        <v>78</v>
      </c>
      <c r="L1161" t="s">
        <v>94</v>
      </c>
      <c r="M1161" t="s">
        <v>95</v>
      </c>
      <c r="N1161" t="s">
        <v>357</v>
      </c>
      <c r="O1161" t="s">
        <v>89</v>
      </c>
      <c r="P1161" t="str">
        <f>"4170072572                    "</f>
        <v xml:space="preserve">4170072572                    </v>
      </c>
      <c r="Q1161">
        <v>0</v>
      </c>
      <c r="R1161">
        <v>0</v>
      </c>
      <c r="S1161">
        <v>0</v>
      </c>
      <c r="T1161">
        <v>0</v>
      </c>
      <c r="U1161">
        <v>0</v>
      </c>
      <c r="V1161">
        <v>0</v>
      </c>
      <c r="W1161">
        <v>0</v>
      </c>
      <c r="X1161">
        <v>0</v>
      </c>
      <c r="Y1161">
        <v>0</v>
      </c>
      <c r="Z1161">
        <v>0</v>
      </c>
      <c r="AA1161">
        <v>0</v>
      </c>
      <c r="AB1161">
        <v>0</v>
      </c>
      <c r="AC1161">
        <v>0</v>
      </c>
      <c r="AD1161">
        <v>0</v>
      </c>
      <c r="AE1161">
        <v>0</v>
      </c>
      <c r="AF1161">
        <v>0</v>
      </c>
      <c r="AG1161">
        <v>0</v>
      </c>
      <c r="AH1161">
        <v>0</v>
      </c>
      <c r="AI1161">
        <v>0</v>
      </c>
      <c r="AJ1161">
        <v>0</v>
      </c>
      <c r="AK1161">
        <v>0</v>
      </c>
      <c r="AL1161">
        <v>0</v>
      </c>
      <c r="AM1161">
        <v>0</v>
      </c>
      <c r="AN1161">
        <v>0</v>
      </c>
      <c r="AO1161">
        <v>0</v>
      </c>
      <c r="AP1161">
        <v>0</v>
      </c>
      <c r="AQ1161">
        <v>25.52</v>
      </c>
      <c r="AR1161">
        <v>0</v>
      </c>
      <c r="AS1161">
        <v>0</v>
      </c>
      <c r="AT1161">
        <v>0</v>
      </c>
      <c r="AU1161">
        <v>0</v>
      </c>
      <c r="AV1161">
        <v>0</v>
      </c>
      <c r="AW1161">
        <v>0</v>
      </c>
      <c r="AX1161">
        <v>0</v>
      </c>
      <c r="AY1161">
        <v>0</v>
      </c>
      <c r="AZ1161">
        <v>0</v>
      </c>
      <c r="BA1161">
        <v>0</v>
      </c>
      <c r="BB1161">
        <v>0</v>
      </c>
      <c r="BC1161">
        <v>0</v>
      </c>
      <c r="BD1161">
        <v>0</v>
      </c>
      <c r="BE1161">
        <v>0</v>
      </c>
      <c r="BF1161">
        <v>0</v>
      </c>
      <c r="BG1161">
        <v>0</v>
      </c>
      <c r="BH1161">
        <v>1</v>
      </c>
      <c r="BI1161">
        <v>1</v>
      </c>
      <c r="BJ1161">
        <v>0.2</v>
      </c>
      <c r="BK1161">
        <v>1</v>
      </c>
      <c r="BL1161">
        <v>76.06</v>
      </c>
      <c r="BM1161">
        <v>11.41</v>
      </c>
      <c r="BN1161">
        <v>87.47</v>
      </c>
      <c r="BO1161">
        <v>87.47</v>
      </c>
      <c r="BQ1161" t="s">
        <v>1827</v>
      </c>
      <c r="BR1161" t="s">
        <v>82</v>
      </c>
      <c r="BS1161" s="3">
        <v>46001</v>
      </c>
      <c r="BT1161" s="4">
        <v>0.40208333333333335</v>
      </c>
      <c r="BU1161" t="s">
        <v>359</v>
      </c>
      <c r="BV1161" t="s">
        <v>84</v>
      </c>
      <c r="BY1161">
        <v>1200</v>
      </c>
      <c r="CA1161" t="s">
        <v>929</v>
      </c>
      <c r="CC1161" t="s">
        <v>95</v>
      </c>
      <c r="CD1161">
        <v>3620</v>
      </c>
      <c r="CE1161" t="s">
        <v>134</v>
      </c>
      <c r="CF1161" s="3">
        <v>46001</v>
      </c>
      <c r="CI1161">
        <v>1</v>
      </c>
      <c r="CJ1161">
        <v>1</v>
      </c>
      <c r="CK1161">
        <v>21</v>
      </c>
      <c r="CL1161" t="s">
        <v>87</v>
      </c>
    </row>
    <row r="1162" spans="1:90" x14ac:dyDescent="0.3">
      <c r="A1162" t="s">
        <v>72</v>
      </c>
      <c r="B1162" t="s">
        <v>73</v>
      </c>
      <c r="C1162" t="s">
        <v>74</v>
      </c>
      <c r="E1162" t="str">
        <f>"080069783796"</f>
        <v>080069783796</v>
      </c>
      <c r="F1162" s="3">
        <v>46000</v>
      </c>
      <c r="G1162">
        <v>202609</v>
      </c>
      <c r="H1162" t="s">
        <v>75</v>
      </c>
      <c r="I1162" t="s">
        <v>76</v>
      </c>
      <c r="J1162" t="s">
        <v>77</v>
      </c>
      <c r="K1162" t="s">
        <v>78</v>
      </c>
      <c r="L1162" t="s">
        <v>1002</v>
      </c>
      <c r="M1162" t="s">
        <v>1003</v>
      </c>
      <c r="N1162" t="s">
        <v>1424</v>
      </c>
      <c r="O1162" t="s">
        <v>89</v>
      </c>
      <c r="P1162" t="str">
        <f>"4170072571                    "</f>
        <v xml:space="preserve">4170072571                    </v>
      </c>
      <c r="Q1162">
        <v>0</v>
      </c>
      <c r="R1162">
        <v>0</v>
      </c>
      <c r="S1162">
        <v>0</v>
      </c>
      <c r="T1162">
        <v>0</v>
      </c>
      <c r="U1162">
        <v>0</v>
      </c>
      <c r="V1162">
        <v>0</v>
      </c>
      <c r="W1162">
        <v>0</v>
      </c>
      <c r="X1162">
        <v>0</v>
      </c>
      <c r="Y1162">
        <v>0</v>
      </c>
      <c r="Z1162">
        <v>0</v>
      </c>
      <c r="AA1162">
        <v>0</v>
      </c>
      <c r="AB1162">
        <v>0</v>
      </c>
      <c r="AC1162">
        <v>0</v>
      </c>
      <c r="AD1162">
        <v>0</v>
      </c>
      <c r="AE1162">
        <v>0</v>
      </c>
      <c r="AF1162">
        <v>0</v>
      </c>
      <c r="AG1162">
        <v>0</v>
      </c>
      <c r="AH1162">
        <v>0</v>
      </c>
      <c r="AI1162">
        <v>0</v>
      </c>
      <c r="AJ1162">
        <v>0</v>
      </c>
      <c r="AK1162">
        <v>0</v>
      </c>
      <c r="AL1162">
        <v>0</v>
      </c>
      <c r="AM1162">
        <v>0</v>
      </c>
      <c r="AN1162">
        <v>0</v>
      </c>
      <c r="AO1162">
        <v>0</v>
      </c>
      <c r="AP1162">
        <v>0</v>
      </c>
      <c r="AQ1162">
        <v>49.45</v>
      </c>
      <c r="AR1162">
        <v>0</v>
      </c>
      <c r="AS1162">
        <v>0</v>
      </c>
      <c r="AT1162">
        <v>0</v>
      </c>
      <c r="AU1162">
        <v>0</v>
      </c>
      <c r="AV1162">
        <v>0</v>
      </c>
      <c r="AW1162">
        <v>0</v>
      </c>
      <c r="AX1162">
        <v>0</v>
      </c>
      <c r="AY1162">
        <v>0</v>
      </c>
      <c r="AZ1162">
        <v>0</v>
      </c>
      <c r="BA1162">
        <v>0</v>
      </c>
      <c r="BB1162">
        <v>0</v>
      </c>
      <c r="BC1162">
        <v>0</v>
      </c>
      <c r="BD1162">
        <v>0</v>
      </c>
      <c r="BE1162">
        <v>0</v>
      </c>
      <c r="BF1162">
        <v>0</v>
      </c>
      <c r="BG1162">
        <v>0</v>
      </c>
      <c r="BH1162">
        <v>1</v>
      </c>
      <c r="BI1162">
        <v>0.2</v>
      </c>
      <c r="BJ1162">
        <v>1.9</v>
      </c>
      <c r="BK1162">
        <v>2</v>
      </c>
      <c r="BL1162">
        <v>147.38</v>
      </c>
      <c r="BM1162">
        <v>22.11</v>
      </c>
      <c r="BN1162">
        <v>169.49</v>
      </c>
      <c r="BO1162">
        <v>169.49</v>
      </c>
      <c r="BQ1162" t="s">
        <v>1005</v>
      </c>
      <c r="BR1162" t="s">
        <v>82</v>
      </c>
      <c r="BS1162" t="s">
        <v>500</v>
      </c>
      <c r="BY1162">
        <v>9279.27</v>
      </c>
      <c r="CC1162" t="s">
        <v>1003</v>
      </c>
      <c r="CD1162">
        <v>4449</v>
      </c>
      <c r="CE1162" t="s">
        <v>86</v>
      </c>
      <c r="CI1162">
        <v>1</v>
      </c>
      <c r="CJ1162" t="s">
        <v>500</v>
      </c>
      <c r="CK1162">
        <v>23</v>
      </c>
      <c r="CL1162" t="s">
        <v>87</v>
      </c>
    </row>
    <row r="1163" spans="1:90" x14ac:dyDescent="0.3">
      <c r="A1163" t="s">
        <v>72</v>
      </c>
      <c r="B1163" t="s">
        <v>73</v>
      </c>
      <c r="C1163" t="s">
        <v>74</v>
      </c>
      <c r="E1163" t="str">
        <f>"080069783809"</f>
        <v>080069783809</v>
      </c>
      <c r="F1163" s="3">
        <v>46000</v>
      </c>
      <c r="G1163">
        <v>202609</v>
      </c>
      <c r="H1163" t="s">
        <v>75</v>
      </c>
      <c r="I1163" t="s">
        <v>76</v>
      </c>
      <c r="J1163" t="s">
        <v>77</v>
      </c>
      <c r="K1163" t="s">
        <v>78</v>
      </c>
      <c r="L1163" t="s">
        <v>218</v>
      </c>
      <c r="M1163" t="s">
        <v>219</v>
      </c>
      <c r="N1163" t="s">
        <v>220</v>
      </c>
      <c r="O1163" t="s">
        <v>89</v>
      </c>
      <c r="P1163" t="str">
        <f>"4170072567                    "</f>
        <v xml:space="preserve">4170072567                    </v>
      </c>
      <c r="Q1163">
        <v>0</v>
      </c>
      <c r="R1163">
        <v>0</v>
      </c>
      <c r="S1163">
        <v>0</v>
      </c>
      <c r="T1163">
        <v>0</v>
      </c>
      <c r="U1163">
        <v>0</v>
      </c>
      <c r="V1163">
        <v>0</v>
      </c>
      <c r="W1163">
        <v>0</v>
      </c>
      <c r="X1163">
        <v>0</v>
      </c>
      <c r="Y1163">
        <v>0</v>
      </c>
      <c r="Z1163">
        <v>0</v>
      </c>
      <c r="AA1163">
        <v>0</v>
      </c>
      <c r="AB1163">
        <v>0</v>
      </c>
      <c r="AC1163">
        <v>0</v>
      </c>
      <c r="AD1163">
        <v>0</v>
      </c>
      <c r="AE1163">
        <v>0</v>
      </c>
      <c r="AF1163">
        <v>0</v>
      </c>
      <c r="AG1163">
        <v>0</v>
      </c>
      <c r="AH1163">
        <v>0</v>
      </c>
      <c r="AI1163">
        <v>0</v>
      </c>
      <c r="AJ1163">
        <v>0</v>
      </c>
      <c r="AK1163">
        <v>0</v>
      </c>
      <c r="AL1163">
        <v>0</v>
      </c>
      <c r="AM1163">
        <v>0</v>
      </c>
      <c r="AN1163">
        <v>0</v>
      </c>
      <c r="AO1163">
        <v>0</v>
      </c>
      <c r="AP1163">
        <v>0</v>
      </c>
      <c r="AQ1163">
        <v>49.45</v>
      </c>
      <c r="AR1163">
        <v>0</v>
      </c>
      <c r="AS1163">
        <v>0</v>
      </c>
      <c r="AT1163">
        <v>0</v>
      </c>
      <c r="AU1163">
        <v>0</v>
      </c>
      <c r="AV1163">
        <v>0</v>
      </c>
      <c r="AW1163">
        <v>0</v>
      </c>
      <c r="AX1163">
        <v>0</v>
      </c>
      <c r="AY1163">
        <v>0</v>
      </c>
      <c r="AZ1163">
        <v>0</v>
      </c>
      <c r="BA1163">
        <v>0</v>
      </c>
      <c r="BB1163">
        <v>0</v>
      </c>
      <c r="BC1163">
        <v>0</v>
      </c>
      <c r="BD1163">
        <v>0</v>
      </c>
      <c r="BE1163">
        <v>0</v>
      </c>
      <c r="BF1163">
        <v>0</v>
      </c>
      <c r="BG1163">
        <v>0</v>
      </c>
      <c r="BH1163">
        <v>1</v>
      </c>
      <c r="BI1163">
        <v>1</v>
      </c>
      <c r="BJ1163">
        <v>0.2</v>
      </c>
      <c r="BK1163">
        <v>1</v>
      </c>
      <c r="BL1163">
        <v>147.38</v>
      </c>
      <c r="BM1163">
        <v>22.11</v>
      </c>
      <c r="BN1163">
        <v>169.49</v>
      </c>
      <c r="BO1163">
        <v>169.49</v>
      </c>
      <c r="BQ1163" t="s">
        <v>221</v>
      </c>
      <c r="BR1163" t="s">
        <v>82</v>
      </c>
      <c r="BS1163" s="3">
        <v>46001</v>
      </c>
      <c r="BT1163" s="4">
        <v>0.29166666666666669</v>
      </c>
      <c r="BU1163" t="s">
        <v>1895</v>
      </c>
      <c r="BV1163" t="s">
        <v>84</v>
      </c>
      <c r="BY1163">
        <v>1200</v>
      </c>
      <c r="CA1163" t="s">
        <v>432</v>
      </c>
      <c r="CC1163" t="s">
        <v>219</v>
      </c>
      <c r="CD1163">
        <v>2740</v>
      </c>
      <c r="CE1163" t="s">
        <v>134</v>
      </c>
      <c r="CF1163" s="3">
        <v>46002</v>
      </c>
      <c r="CI1163">
        <v>1</v>
      </c>
      <c r="CJ1163">
        <v>1</v>
      </c>
      <c r="CK1163">
        <v>23</v>
      </c>
      <c r="CL1163" t="s">
        <v>87</v>
      </c>
    </row>
    <row r="1164" spans="1:90" x14ac:dyDescent="0.3">
      <c r="A1164" t="s">
        <v>72</v>
      </c>
      <c r="B1164" t="s">
        <v>73</v>
      </c>
      <c r="C1164" t="s">
        <v>74</v>
      </c>
      <c r="E1164" t="str">
        <f>"080069783844"</f>
        <v>080069783844</v>
      </c>
      <c r="F1164" s="3">
        <v>46000</v>
      </c>
      <c r="G1164">
        <v>202609</v>
      </c>
      <c r="H1164" t="s">
        <v>75</v>
      </c>
      <c r="I1164" t="s">
        <v>76</v>
      </c>
      <c r="J1164" t="s">
        <v>77</v>
      </c>
      <c r="K1164" t="s">
        <v>78</v>
      </c>
      <c r="L1164" t="s">
        <v>141</v>
      </c>
      <c r="M1164" t="s">
        <v>142</v>
      </c>
      <c r="N1164" t="s">
        <v>618</v>
      </c>
      <c r="O1164" t="s">
        <v>89</v>
      </c>
      <c r="P1164" t="str">
        <f>"4170072573                    "</f>
        <v xml:space="preserve">4170072573                    </v>
      </c>
      <c r="Q1164">
        <v>0</v>
      </c>
      <c r="R1164">
        <v>0</v>
      </c>
      <c r="S1164">
        <v>0</v>
      </c>
      <c r="T1164">
        <v>0</v>
      </c>
      <c r="U1164">
        <v>0</v>
      </c>
      <c r="V1164">
        <v>0</v>
      </c>
      <c r="W1164">
        <v>0</v>
      </c>
      <c r="X1164">
        <v>0</v>
      </c>
      <c r="Y1164">
        <v>0</v>
      </c>
      <c r="Z1164">
        <v>0</v>
      </c>
      <c r="AA1164">
        <v>0</v>
      </c>
      <c r="AB1164">
        <v>0</v>
      </c>
      <c r="AC1164">
        <v>0</v>
      </c>
      <c r="AD1164">
        <v>0</v>
      </c>
      <c r="AE1164">
        <v>0</v>
      </c>
      <c r="AF1164">
        <v>0</v>
      </c>
      <c r="AG1164">
        <v>0</v>
      </c>
      <c r="AH1164">
        <v>0</v>
      </c>
      <c r="AI1164">
        <v>0</v>
      </c>
      <c r="AJ1164">
        <v>0</v>
      </c>
      <c r="AK1164">
        <v>0</v>
      </c>
      <c r="AL1164">
        <v>0</v>
      </c>
      <c r="AM1164">
        <v>0</v>
      </c>
      <c r="AN1164">
        <v>0</v>
      </c>
      <c r="AO1164">
        <v>0</v>
      </c>
      <c r="AP1164">
        <v>0</v>
      </c>
      <c r="AQ1164">
        <v>25.52</v>
      </c>
      <c r="AR1164">
        <v>0</v>
      </c>
      <c r="AS1164">
        <v>0</v>
      </c>
      <c r="AT1164">
        <v>0</v>
      </c>
      <c r="AU1164">
        <v>0</v>
      </c>
      <c r="AV1164">
        <v>0</v>
      </c>
      <c r="AW1164">
        <v>0</v>
      </c>
      <c r="AX1164">
        <v>0</v>
      </c>
      <c r="AY1164">
        <v>0</v>
      </c>
      <c r="AZ1164">
        <v>0</v>
      </c>
      <c r="BA1164">
        <v>0</v>
      </c>
      <c r="BB1164">
        <v>0</v>
      </c>
      <c r="BC1164">
        <v>0</v>
      </c>
      <c r="BD1164">
        <v>0</v>
      </c>
      <c r="BE1164">
        <v>0</v>
      </c>
      <c r="BF1164">
        <v>0</v>
      </c>
      <c r="BG1164">
        <v>0</v>
      </c>
      <c r="BH1164">
        <v>1</v>
      </c>
      <c r="BI1164">
        <v>1</v>
      </c>
      <c r="BJ1164">
        <v>0.2</v>
      </c>
      <c r="BK1164">
        <v>1</v>
      </c>
      <c r="BL1164">
        <v>76.06</v>
      </c>
      <c r="BM1164">
        <v>11.41</v>
      </c>
      <c r="BN1164">
        <v>87.47</v>
      </c>
      <c r="BO1164">
        <v>87.47</v>
      </c>
      <c r="BQ1164" t="s">
        <v>619</v>
      </c>
      <c r="BR1164" t="s">
        <v>82</v>
      </c>
      <c r="BS1164" s="3">
        <v>46001</v>
      </c>
      <c r="BT1164" s="4">
        <v>0.41458333333333336</v>
      </c>
      <c r="BU1164" t="s">
        <v>1872</v>
      </c>
      <c r="BV1164" t="s">
        <v>84</v>
      </c>
      <c r="BY1164">
        <v>1200</v>
      </c>
      <c r="CA1164" t="s">
        <v>1873</v>
      </c>
      <c r="CC1164" t="s">
        <v>142</v>
      </c>
      <c r="CD1164">
        <v>6001</v>
      </c>
      <c r="CE1164" t="s">
        <v>134</v>
      </c>
      <c r="CF1164" s="3">
        <v>46001</v>
      </c>
      <c r="CI1164">
        <v>1</v>
      </c>
      <c r="CJ1164">
        <v>1</v>
      </c>
      <c r="CK1164">
        <v>21</v>
      </c>
      <c r="CL1164" t="s">
        <v>87</v>
      </c>
    </row>
    <row r="1165" spans="1:90" x14ac:dyDescent="0.3">
      <c r="A1165" t="s">
        <v>72</v>
      </c>
      <c r="B1165" t="s">
        <v>73</v>
      </c>
      <c r="C1165" t="s">
        <v>74</v>
      </c>
      <c r="E1165" t="str">
        <f>"080069783853"</f>
        <v>080069783853</v>
      </c>
      <c r="F1165" s="3">
        <v>46000</v>
      </c>
      <c r="G1165">
        <v>202609</v>
      </c>
      <c r="H1165" t="s">
        <v>75</v>
      </c>
      <c r="I1165" t="s">
        <v>76</v>
      </c>
      <c r="J1165" t="s">
        <v>77</v>
      </c>
      <c r="K1165" t="s">
        <v>78</v>
      </c>
      <c r="L1165" t="s">
        <v>265</v>
      </c>
      <c r="M1165" t="s">
        <v>266</v>
      </c>
      <c r="N1165" t="s">
        <v>1900</v>
      </c>
      <c r="O1165" t="s">
        <v>80</v>
      </c>
      <c r="P1165" t="str">
        <f>"4170072566                    "</f>
        <v xml:space="preserve">4170072566                    </v>
      </c>
      <c r="Q1165">
        <v>0</v>
      </c>
      <c r="R1165">
        <v>0</v>
      </c>
      <c r="S1165">
        <v>0</v>
      </c>
      <c r="T1165">
        <v>0</v>
      </c>
      <c r="U1165">
        <v>0</v>
      </c>
      <c r="V1165">
        <v>0</v>
      </c>
      <c r="W1165">
        <v>0</v>
      </c>
      <c r="X1165">
        <v>0</v>
      </c>
      <c r="Y1165">
        <v>0</v>
      </c>
      <c r="Z1165">
        <v>0</v>
      </c>
      <c r="AA1165">
        <v>0</v>
      </c>
      <c r="AB1165">
        <v>0</v>
      </c>
      <c r="AC1165">
        <v>0</v>
      </c>
      <c r="AD1165">
        <v>0</v>
      </c>
      <c r="AE1165">
        <v>0</v>
      </c>
      <c r="AF1165">
        <v>0</v>
      </c>
      <c r="AG1165">
        <v>0</v>
      </c>
      <c r="AH1165">
        <v>0</v>
      </c>
      <c r="AI1165">
        <v>0</v>
      </c>
      <c r="AJ1165">
        <v>0</v>
      </c>
      <c r="AK1165">
        <v>0</v>
      </c>
      <c r="AL1165">
        <v>0</v>
      </c>
      <c r="AM1165">
        <v>0</v>
      </c>
      <c r="AN1165">
        <v>0</v>
      </c>
      <c r="AO1165">
        <v>0</v>
      </c>
      <c r="AP1165">
        <v>0</v>
      </c>
      <c r="AQ1165">
        <v>55.86</v>
      </c>
      <c r="AR1165">
        <v>0</v>
      </c>
      <c r="AS1165">
        <v>0</v>
      </c>
      <c r="AT1165">
        <v>0</v>
      </c>
      <c r="AU1165">
        <v>0</v>
      </c>
      <c r="AV1165">
        <v>0</v>
      </c>
      <c r="AW1165">
        <v>0</v>
      </c>
      <c r="AX1165">
        <v>0</v>
      </c>
      <c r="AY1165">
        <v>0</v>
      </c>
      <c r="AZ1165">
        <v>0</v>
      </c>
      <c r="BA1165">
        <v>0</v>
      </c>
      <c r="BB1165">
        <v>0</v>
      </c>
      <c r="BC1165">
        <v>0</v>
      </c>
      <c r="BD1165">
        <v>0</v>
      </c>
      <c r="BE1165">
        <v>0</v>
      </c>
      <c r="BF1165">
        <v>0</v>
      </c>
      <c r="BG1165">
        <v>0</v>
      </c>
      <c r="BH1165">
        <v>1</v>
      </c>
      <c r="BI1165">
        <v>15.6</v>
      </c>
      <c r="BJ1165">
        <v>30.4</v>
      </c>
      <c r="BK1165">
        <v>31</v>
      </c>
      <c r="BL1165">
        <v>172.58</v>
      </c>
      <c r="BM1165">
        <v>25.89</v>
      </c>
      <c r="BN1165">
        <v>198.47</v>
      </c>
      <c r="BO1165">
        <v>198.47</v>
      </c>
      <c r="BQ1165" t="s">
        <v>1901</v>
      </c>
      <c r="BR1165" t="s">
        <v>82</v>
      </c>
      <c r="BS1165" s="3">
        <v>46001</v>
      </c>
      <c r="BT1165" s="4">
        <v>0.41944444444444445</v>
      </c>
      <c r="BU1165" t="s">
        <v>1902</v>
      </c>
      <c r="BV1165" t="s">
        <v>84</v>
      </c>
      <c r="BY1165">
        <v>151922.93</v>
      </c>
      <c r="CA1165" t="s">
        <v>1330</v>
      </c>
      <c r="CC1165" t="s">
        <v>266</v>
      </c>
      <c r="CD1165">
        <v>1459</v>
      </c>
      <c r="CE1165" t="s">
        <v>86</v>
      </c>
      <c r="CF1165" s="3">
        <v>46002</v>
      </c>
      <c r="CI1165">
        <v>1</v>
      </c>
      <c r="CJ1165">
        <v>1</v>
      </c>
      <c r="CK1165">
        <v>42</v>
      </c>
      <c r="CL1165" t="s">
        <v>87</v>
      </c>
    </row>
    <row r="1166" spans="1:90" x14ac:dyDescent="0.3">
      <c r="A1166" t="s">
        <v>72</v>
      </c>
      <c r="B1166" t="s">
        <v>73</v>
      </c>
      <c r="C1166" t="s">
        <v>74</v>
      </c>
      <c r="E1166" t="str">
        <f>"080069785080"</f>
        <v>080069785080</v>
      </c>
      <c r="F1166" s="3">
        <v>46000</v>
      </c>
      <c r="G1166">
        <v>202609</v>
      </c>
      <c r="H1166" t="s">
        <v>75</v>
      </c>
      <c r="I1166" t="s">
        <v>76</v>
      </c>
      <c r="J1166" t="s">
        <v>77</v>
      </c>
      <c r="K1166" t="s">
        <v>78</v>
      </c>
      <c r="L1166" t="s">
        <v>156</v>
      </c>
      <c r="M1166" t="s">
        <v>157</v>
      </c>
      <c r="N1166" t="s">
        <v>158</v>
      </c>
      <c r="O1166" t="s">
        <v>80</v>
      </c>
      <c r="P1166" t="str">
        <f>"4170072541                    "</f>
        <v xml:space="preserve">4170072541                    </v>
      </c>
      <c r="Q1166">
        <v>0</v>
      </c>
      <c r="R1166">
        <v>0</v>
      </c>
      <c r="S1166">
        <v>0</v>
      </c>
      <c r="T1166">
        <v>0</v>
      </c>
      <c r="U1166">
        <v>0</v>
      </c>
      <c r="V1166">
        <v>0</v>
      </c>
      <c r="W1166">
        <v>0</v>
      </c>
      <c r="X1166">
        <v>0</v>
      </c>
      <c r="Y1166">
        <v>0</v>
      </c>
      <c r="Z1166">
        <v>0</v>
      </c>
      <c r="AA1166">
        <v>0</v>
      </c>
      <c r="AB1166">
        <v>0</v>
      </c>
      <c r="AC1166">
        <v>0</v>
      </c>
      <c r="AD1166">
        <v>0</v>
      </c>
      <c r="AE1166">
        <v>0</v>
      </c>
      <c r="AF1166">
        <v>0</v>
      </c>
      <c r="AG1166">
        <v>0</v>
      </c>
      <c r="AH1166">
        <v>0</v>
      </c>
      <c r="AI1166">
        <v>0</v>
      </c>
      <c r="AJ1166">
        <v>0</v>
      </c>
      <c r="AK1166">
        <v>0</v>
      </c>
      <c r="AL1166">
        <v>0</v>
      </c>
      <c r="AM1166">
        <v>0</v>
      </c>
      <c r="AN1166">
        <v>0</v>
      </c>
      <c r="AO1166">
        <v>0</v>
      </c>
      <c r="AP1166">
        <v>0</v>
      </c>
      <c r="AQ1166">
        <v>267.66000000000003</v>
      </c>
      <c r="AR1166">
        <v>0</v>
      </c>
      <c r="AS1166">
        <v>0</v>
      </c>
      <c r="AT1166">
        <v>0</v>
      </c>
      <c r="AU1166">
        <v>0</v>
      </c>
      <c r="AV1166">
        <v>0</v>
      </c>
      <c r="AW1166">
        <v>0</v>
      </c>
      <c r="AX1166">
        <v>0</v>
      </c>
      <c r="AY1166">
        <v>0</v>
      </c>
      <c r="AZ1166">
        <v>0</v>
      </c>
      <c r="BA1166">
        <v>0</v>
      </c>
      <c r="BB1166">
        <v>0</v>
      </c>
      <c r="BC1166">
        <v>0</v>
      </c>
      <c r="BD1166">
        <v>0</v>
      </c>
      <c r="BE1166">
        <v>0</v>
      </c>
      <c r="BF1166">
        <v>0</v>
      </c>
      <c r="BG1166">
        <v>0</v>
      </c>
      <c r="BH1166">
        <v>1</v>
      </c>
      <c r="BI1166">
        <v>122</v>
      </c>
      <c r="BJ1166">
        <v>81.7</v>
      </c>
      <c r="BK1166">
        <v>122</v>
      </c>
      <c r="BL1166">
        <v>803.78</v>
      </c>
      <c r="BM1166">
        <v>120.57</v>
      </c>
      <c r="BN1166">
        <v>924.35</v>
      </c>
      <c r="BO1166">
        <v>924.35</v>
      </c>
      <c r="BQ1166" t="s">
        <v>159</v>
      </c>
      <c r="BR1166" t="s">
        <v>82</v>
      </c>
      <c r="BS1166" s="3">
        <v>46002</v>
      </c>
      <c r="BT1166" s="4">
        <v>0.37708333333333333</v>
      </c>
      <c r="BU1166" t="s">
        <v>1875</v>
      </c>
      <c r="BV1166" t="s">
        <v>84</v>
      </c>
      <c r="BY1166">
        <v>408483</v>
      </c>
      <c r="CA1166" t="s">
        <v>1876</v>
      </c>
      <c r="CC1166" t="s">
        <v>157</v>
      </c>
      <c r="CD1166">
        <v>7530</v>
      </c>
      <c r="CE1166" t="s">
        <v>567</v>
      </c>
      <c r="CI1166">
        <v>3</v>
      </c>
      <c r="CJ1166">
        <v>2</v>
      </c>
      <c r="CK1166">
        <v>41</v>
      </c>
      <c r="CL1166" t="s">
        <v>87</v>
      </c>
    </row>
    <row r="1167" spans="1:90" x14ac:dyDescent="0.3">
      <c r="A1167" t="s">
        <v>72</v>
      </c>
      <c r="B1167" t="s">
        <v>73</v>
      </c>
      <c r="C1167" t="s">
        <v>74</v>
      </c>
      <c r="E1167" t="str">
        <f>"080069785281"</f>
        <v>080069785281</v>
      </c>
      <c r="F1167" s="3">
        <v>46000</v>
      </c>
      <c r="G1167">
        <v>202609</v>
      </c>
      <c r="H1167" t="s">
        <v>75</v>
      </c>
      <c r="I1167" t="s">
        <v>76</v>
      </c>
      <c r="J1167" t="s">
        <v>77</v>
      </c>
      <c r="K1167" t="s">
        <v>78</v>
      </c>
      <c r="L1167" t="s">
        <v>295</v>
      </c>
      <c r="M1167" t="s">
        <v>296</v>
      </c>
      <c r="N1167" t="s">
        <v>1363</v>
      </c>
      <c r="O1167" t="s">
        <v>89</v>
      </c>
      <c r="P1167" t="str">
        <f>"4170072280                    "</f>
        <v xml:space="preserve">4170072280                    </v>
      </c>
      <c r="Q1167">
        <v>0</v>
      </c>
      <c r="R1167">
        <v>0</v>
      </c>
      <c r="S1167">
        <v>0</v>
      </c>
      <c r="T1167">
        <v>0</v>
      </c>
      <c r="U1167">
        <v>0</v>
      </c>
      <c r="V1167">
        <v>0</v>
      </c>
      <c r="W1167">
        <v>0</v>
      </c>
      <c r="X1167">
        <v>0</v>
      </c>
      <c r="Y1167">
        <v>0</v>
      </c>
      <c r="Z1167">
        <v>0</v>
      </c>
      <c r="AA1167">
        <v>0</v>
      </c>
      <c r="AB1167">
        <v>0</v>
      </c>
      <c r="AC1167">
        <v>0</v>
      </c>
      <c r="AD1167">
        <v>0</v>
      </c>
      <c r="AE1167">
        <v>0</v>
      </c>
      <c r="AF1167">
        <v>0</v>
      </c>
      <c r="AG1167">
        <v>0</v>
      </c>
      <c r="AH1167">
        <v>0</v>
      </c>
      <c r="AI1167">
        <v>0</v>
      </c>
      <c r="AJ1167">
        <v>0</v>
      </c>
      <c r="AK1167">
        <v>0</v>
      </c>
      <c r="AL1167">
        <v>0</v>
      </c>
      <c r="AM1167">
        <v>0</v>
      </c>
      <c r="AN1167">
        <v>0</v>
      </c>
      <c r="AO1167">
        <v>0</v>
      </c>
      <c r="AP1167">
        <v>0</v>
      </c>
      <c r="AQ1167">
        <v>19.940000000000001</v>
      </c>
      <c r="AR1167">
        <v>0</v>
      </c>
      <c r="AS1167">
        <v>0</v>
      </c>
      <c r="AT1167">
        <v>0</v>
      </c>
      <c r="AU1167">
        <v>0</v>
      </c>
      <c r="AV1167">
        <v>0</v>
      </c>
      <c r="AW1167">
        <v>0</v>
      </c>
      <c r="AX1167">
        <v>0</v>
      </c>
      <c r="AY1167">
        <v>0</v>
      </c>
      <c r="AZ1167">
        <v>0</v>
      </c>
      <c r="BA1167">
        <v>0</v>
      </c>
      <c r="BB1167">
        <v>0</v>
      </c>
      <c r="BC1167">
        <v>0</v>
      </c>
      <c r="BD1167">
        <v>0</v>
      </c>
      <c r="BE1167">
        <v>0</v>
      </c>
      <c r="BF1167">
        <v>0</v>
      </c>
      <c r="BG1167">
        <v>0</v>
      </c>
      <c r="BH1167">
        <v>1</v>
      </c>
      <c r="BI1167">
        <v>1</v>
      </c>
      <c r="BJ1167">
        <v>0.2</v>
      </c>
      <c r="BK1167">
        <v>1</v>
      </c>
      <c r="BL1167">
        <v>59.42</v>
      </c>
      <c r="BM1167">
        <v>8.91</v>
      </c>
      <c r="BN1167">
        <v>68.33</v>
      </c>
      <c r="BO1167">
        <v>68.33</v>
      </c>
      <c r="BQ1167" t="s">
        <v>1364</v>
      </c>
      <c r="BR1167" t="s">
        <v>82</v>
      </c>
      <c r="BS1167" s="3">
        <v>46001</v>
      </c>
      <c r="BT1167" s="4">
        <v>0.34583333333333333</v>
      </c>
      <c r="BU1167" t="s">
        <v>1903</v>
      </c>
      <c r="BV1167" t="s">
        <v>84</v>
      </c>
      <c r="BY1167">
        <v>1200</v>
      </c>
      <c r="CA1167" t="s">
        <v>1713</v>
      </c>
      <c r="CC1167" t="s">
        <v>296</v>
      </c>
      <c r="CD1167">
        <v>1501</v>
      </c>
      <c r="CE1167" t="s">
        <v>134</v>
      </c>
      <c r="CF1167" s="3">
        <v>46001</v>
      </c>
      <c r="CI1167">
        <v>1</v>
      </c>
      <c r="CJ1167">
        <v>1</v>
      </c>
      <c r="CK1167">
        <v>22</v>
      </c>
      <c r="CL1167" t="s">
        <v>87</v>
      </c>
    </row>
    <row r="1168" spans="1:90" x14ac:dyDescent="0.3">
      <c r="A1168" t="s">
        <v>72</v>
      </c>
      <c r="B1168" t="s">
        <v>73</v>
      </c>
      <c r="C1168" t="s">
        <v>74</v>
      </c>
      <c r="E1168" t="str">
        <f>"080069785315"</f>
        <v>080069785315</v>
      </c>
      <c r="F1168" s="3">
        <v>46000</v>
      </c>
      <c r="G1168">
        <v>202609</v>
      </c>
      <c r="H1168" t="s">
        <v>75</v>
      </c>
      <c r="I1168" t="s">
        <v>76</v>
      </c>
      <c r="J1168" t="s">
        <v>77</v>
      </c>
      <c r="K1168" t="s">
        <v>78</v>
      </c>
      <c r="L1168" t="s">
        <v>265</v>
      </c>
      <c r="M1168" t="s">
        <v>266</v>
      </c>
      <c r="N1168" t="s">
        <v>1847</v>
      </c>
      <c r="O1168" t="s">
        <v>89</v>
      </c>
      <c r="P1168" t="str">
        <f>"4170072565                    "</f>
        <v xml:space="preserve">4170072565                    </v>
      </c>
      <c r="Q1168">
        <v>0</v>
      </c>
      <c r="R1168">
        <v>0</v>
      </c>
      <c r="S1168">
        <v>0</v>
      </c>
      <c r="T1168">
        <v>0</v>
      </c>
      <c r="U1168">
        <v>0</v>
      </c>
      <c r="V1168">
        <v>0</v>
      </c>
      <c r="W1168">
        <v>0</v>
      </c>
      <c r="X1168">
        <v>0</v>
      </c>
      <c r="Y1168">
        <v>0</v>
      </c>
      <c r="Z1168">
        <v>0</v>
      </c>
      <c r="AA1168">
        <v>0</v>
      </c>
      <c r="AB1168">
        <v>0</v>
      </c>
      <c r="AC1168">
        <v>0</v>
      </c>
      <c r="AD1168">
        <v>0</v>
      </c>
      <c r="AE1168">
        <v>0</v>
      </c>
      <c r="AF1168">
        <v>0</v>
      </c>
      <c r="AG1168">
        <v>0</v>
      </c>
      <c r="AH1168">
        <v>0</v>
      </c>
      <c r="AI1168">
        <v>0</v>
      </c>
      <c r="AJ1168">
        <v>0</v>
      </c>
      <c r="AK1168">
        <v>0</v>
      </c>
      <c r="AL1168">
        <v>0</v>
      </c>
      <c r="AM1168">
        <v>0</v>
      </c>
      <c r="AN1168">
        <v>0</v>
      </c>
      <c r="AO1168">
        <v>0</v>
      </c>
      <c r="AP1168">
        <v>0</v>
      </c>
      <c r="AQ1168">
        <v>19.940000000000001</v>
      </c>
      <c r="AR1168">
        <v>0</v>
      </c>
      <c r="AS1168">
        <v>0</v>
      </c>
      <c r="AT1168">
        <v>0</v>
      </c>
      <c r="AU1168">
        <v>0</v>
      </c>
      <c r="AV1168">
        <v>0</v>
      </c>
      <c r="AW1168">
        <v>0</v>
      </c>
      <c r="AX1168">
        <v>0</v>
      </c>
      <c r="AY1168">
        <v>0</v>
      </c>
      <c r="AZ1168">
        <v>0</v>
      </c>
      <c r="BA1168">
        <v>0</v>
      </c>
      <c r="BB1168">
        <v>0</v>
      </c>
      <c r="BC1168">
        <v>0</v>
      </c>
      <c r="BD1168">
        <v>0</v>
      </c>
      <c r="BE1168">
        <v>0</v>
      </c>
      <c r="BF1168">
        <v>0</v>
      </c>
      <c r="BG1168">
        <v>0</v>
      </c>
      <c r="BH1168">
        <v>1</v>
      </c>
      <c r="BI1168">
        <v>1</v>
      </c>
      <c r="BJ1168">
        <v>0.2</v>
      </c>
      <c r="BK1168">
        <v>1</v>
      </c>
      <c r="BL1168">
        <v>59.42</v>
      </c>
      <c r="BM1168">
        <v>8.91</v>
      </c>
      <c r="BN1168">
        <v>68.33</v>
      </c>
      <c r="BO1168">
        <v>68.33</v>
      </c>
      <c r="BQ1168" t="s">
        <v>1848</v>
      </c>
      <c r="BR1168" t="s">
        <v>82</v>
      </c>
      <c r="BS1168" s="3">
        <v>46001</v>
      </c>
      <c r="BT1168" s="4">
        <v>0.37777777777777777</v>
      </c>
      <c r="BU1168" t="s">
        <v>416</v>
      </c>
      <c r="BV1168" t="s">
        <v>84</v>
      </c>
      <c r="BY1168">
        <v>1200</v>
      </c>
      <c r="CA1168" t="s">
        <v>417</v>
      </c>
      <c r="CC1168" t="s">
        <v>266</v>
      </c>
      <c r="CD1168">
        <v>1459</v>
      </c>
      <c r="CE1168" t="s">
        <v>134</v>
      </c>
      <c r="CF1168" s="3">
        <v>46001</v>
      </c>
      <c r="CI1168">
        <v>1</v>
      </c>
      <c r="CJ1168">
        <v>1</v>
      </c>
      <c r="CK1168">
        <v>22</v>
      </c>
      <c r="CL1168" t="s">
        <v>87</v>
      </c>
    </row>
    <row r="1169" spans="1:90" x14ac:dyDescent="0.3">
      <c r="A1169" t="s">
        <v>72</v>
      </c>
      <c r="B1169" t="s">
        <v>73</v>
      </c>
      <c r="C1169" t="s">
        <v>74</v>
      </c>
      <c r="E1169" t="str">
        <f>"080069785365"</f>
        <v>080069785365</v>
      </c>
      <c r="F1169" s="3">
        <v>46000</v>
      </c>
      <c r="G1169">
        <v>202609</v>
      </c>
      <c r="H1169" t="s">
        <v>75</v>
      </c>
      <c r="I1169" t="s">
        <v>76</v>
      </c>
      <c r="J1169" t="s">
        <v>77</v>
      </c>
      <c r="K1169" t="s">
        <v>78</v>
      </c>
      <c r="L1169" t="s">
        <v>141</v>
      </c>
      <c r="M1169" t="s">
        <v>142</v>
      </c>
      <c r="N1169" t="s">
        <v>568</v>
      </c>
      <c r="O1169" t="s">
        <v>89</v>
      </c>
      <c r="P1169" t="str">
        <f>"4170071777                    "</f>
        <v xml:space="preserve">4170071777                    </v>
      </c>
      <c r="Q1169">
        <v>0</v>
      </c>
      <c r="R1169">
        <v>0</v>
      </c>
      <c r="S1169">
        <v>0</v>
      </c>
      <c r="T1169">
        <v>0</v>
      </c>
      <c r="U1169">
        <v>0</v>
      </c>
      <c r="V1169">
        <v>0</v>
      </c>
      <c r="W1169">
        <v>0</v>
      </c>
      <c r="X1169">
        <v>0</v>
      </c>
      <c r="Y1169">
        <v>0</v>
      </c>
      <c r="Z1169">
        <v>0</v>
      </c>
      <c r="AA1169">
        <v>0</v>
      </c>
      <c r="AB1169">
        <v>0</v>
      </c>
      <c r="AC1169">
        <v>0</v>
      </c>
      <c r="AD1169">
        <v>0</v>
      </c>
      <c r="AE1169">
        <v>0</v>
      </c>
      <c r="AF1169">
        <v>0</v>
      </c>
      <c r="AG1169">
        <v>0</v>
      </c>
      <c r="AH1169">
        <v>0</v>
      </c>
      <c r="AI1169">
        <v>0</v>
      </c>
      <c r="AJ1169">
        <v>0</v>
      </c>
      <c r="AK1169">
        <v>0</v>
      </c>
      <c r="AL1169">
        <v>0</v>
      </c>
      <c r="AM1169">
        <v>0</v>
      </c>
      <c r="AN1169">
        <v>0</v>
      </c>
      <c r="AO1169">
        <v>0</v>
      </c>
      <c r="AP1169">
        <v>0</v>
      </c>
      <c r="AQ1169">
        <v>25.52</v>
      </c>
      <c r="AR1169">
        <v>0</v>
      </c>
      <c r="AS1169">
        <v>0</v>
      </c>
      <c r="AT1169">
        <v>0</v>
      </c>
      <c r="AU1169">
        <v>0</v>
      </c>
      <c r="AV1169">
        <v>0</v>
      </c>
      <c r="AW1169">
        <v>0</v>
      </c>
      <c r="AX1169">
        <v>0</v>
      </c>
      <c r="AY1169">
        <v>0</v>
      </c>
      <c r="AZ1169">
        <v>0</v>
      </c>
      <c r="BA1169">
        <v>0</v>
      </c>
      <c r="BB1169">
        <v>0</v>
      </c>
      <c r="BC1169">
        <v>0</v>
      </c>
      <c r="BD1169">
        <v>0</v>
      </c>
      <c r="BE1169">
        <v>0</v>
      </c>
      <c r="BF1169">
        <v>0</v>
      </c>
      <c r="BG1169">
        <v>0</v>
      </c>
      <c r="BH1169">
        <v>1</v>
      </c>
      <c r="BI1169">
        <v>1</v>
      </c>
      <c r="BJ1169">
        <v>0.2</v>
      </c>
      <c r="BK1169">
        <v>1</v>
      </c>
      <c r="BL1169">
        <v>76.06</v>
      </c>
      <c r="BM1169">
        <v>11.41</v>
      </c>
      <c r="BN1169">
        <v>87.47</v>
      </c>
      <c r="BO1169">
        <v>87.47</v>
      </c>
      <c r="BQ1169" t="s">
        <v>569</v>
      </c>
      <c r="BR1169" t="s">
        <v>82</v>
      </c>
      <c r="BS1169" s="3">
        <v>46001</v>
      </c>
      <c r="BT1169" s="4">
        <v>0.43263888888888891</v>
      </c>
      <c r="BU1169" t="s">
        <v>1904</v>
      </c>
      <c r="BV1169" t="s">
        <v>84</v>
      </c>
      <c r="BY1169">
        <v>1200</v>
      </c>
      <c r="CA1169" t="s">
        <v>571</v>
      </c>
      <c r="CC1169" t="s">
        <v>142</v>
      </c>
      <c r="CD1169">
        <v>6056</v>
      </c>
      <c r="CE1169" t="s">
        <v>134</v>
      </c>
      <c r="CI1169">
        <v>1</v>
      </c>
      <c r="CJ1169">
        <v>1</v>
      </c>
      <c r="CK1169">
        <v>21</v>
      </c>
      <c r="CL1169" t="s">
        <v>87</v>
      </c>
    </row>
    <row r="1170" spans="1:90" x14ac:dyDescent="0.3">
      <c r="A1170" t="s">
        <v>72</v>
      </c>
      <c r="B1170" t="s">
        <v>73</v>
      </c>
      <c r="C1170" t="s">
        <v>74</v>
      </c>
      <c r="E1170" t="str">
        <f>"080069785393"</f>
        <v>080069785393</v>
      </c>
      <c r="F1170" s="3">
        <v>46000</v>
      </c>
      <c r="G1170">
        <v>202609</v>
      </c>
      <c r="H1170" t="s">
        <v>75</v>
      </c>
      <c r="I1170" t="s">
        <v>76</v>
      </c>
      <c r="J1170" t="s">
        <v>77</v>
      </c>
      <c r="K1170" t="s">
        <v>78</v>
      </c>
      <c r="L1170" t="s">
        <v>100</v>
      </c>
      <c r="M1170" t="s">
        <v>101</v>
      </c>
      <c r="N1170" t="s">
        <v>166</v>
      </c>
      <c r="O1170" t="s">
        <v>89</v>
      </c>
      <c r="P1170" t="str">
        <f>"4170072585                    "</f>
        <v xml:space="preserve">4170072585                    </v>
      </c>
      <c r="Q1170">
        <v>0</v>
      </c>
      <c r="R1170">
        <v>0</v>
      </c>
      <c r="S1170">
        <v>0</v>
      </c>
      <c r="T1170">
        <v>0</v>
      </c>
      <c r="U1170">
        <v>0</v>
      </c>
      <c r="V1170">
        <v>0</v>
      </c>
      <c r="W1170">
        <v>0</v>
      </c>
      <c r="X1170">
        <v>0</v>
      </c>
      <c r="Y1170">
        <v>0</v>
      </c>
      <c r="Z1170">
        <v>0</v>
      </c>
      <c r="AA1170">
        <v>0</v>
      </c>
      <c r="AB1170">
        <v>0</v>
      </c>
      <c r="AC1170">
        <v>0</v>
      </c>
      <c r="AD1170">
        <v>0</v>
      </c>
      <c r="AE1170">
        <v>0</v>
      </c>
      <c r="AF1170">
        <v>0</v>
      </c>
      <c r="AG1170">
        <v>0</v>
      </c>
      <c r="AH1170">
        <v>0</v>
      </c>
      <c r="AI1170">
        <v>0</v>
      </c>
      <c r="AJ1170">
        <v>0</v>
      </c>
      <c r="AK1170">
        <v>0</v>
      </c>
      <c r="AL1170">
        <v>0</v>
      </c>
      <c r="AM1170">
        <v>0</v>
      </c>
      <c r="AN1170">
        <v>0</v>
      </c>
      <c r="AO1170">
        <v>0</v>
      </c>
      <c r="AP1170">
        <v>0</v>
      </c>
      <c r="AQ1170">
        <v>25.52</v>
      </c>
      <c r="AR1170">
        <v>0</v>
      </c>
      <c r="AS1170">
        <v>0</v>
      </c>
      <c r="AT1170">
        <v>0</v>
      </c>
      <c r="AU1170">
        <v>0</v>
      </c>
      <c r="AV1170">
        <v>0</v>
      </c>
      <c r="AW1170">
        <v>0</v>
      </c>
      <c r="AX1170">
        <v>0</v>
      </c>
      <c r="AY1170">
        <v>0</v>
      </c>
      <c r="AZ1170">
        <v>0</v>
      </c>
      <c r="BA1170">
        <v>0</v>
      </c>
      <c r="BB1170">
        <v>0</v>
      </c>
      <c r="BC1170">
        <v>0</v>
      </c>
      <c r="BD1170">
        <v>0</v>
      </c>
      <c r="BE1170">
        <v>0</v>
      </c>
      <c r="BF1170">
        <v>0</v>
      </c>
      <c r="BG1170">
        <v>0</v>
      </c>
      <c r="BH1170">
        <v>1</v>
      </c>
      <c r="BI1170">
        <v>1</v>
      </c>
      <c r="BJ1170">
        <v>0.2</v>
      </c>
      <c r="BK1170">
        <v>1</v>
      </c>
      <c r="BL1170">
        <v>76.06</v>
      </c>
      <c r="BM1170">
        <v>11.41</v>
      </c>
      <c r="BN1170">
        <v>87.47</v>
      </c>
      <c r="BO1170">
        <v>87.47</v>
      </c>
      <c r="BQ1170" t="s">
        <v>167</v>
      </c>
      <c r="BR1170" t="s">
        <v>82</v>
      </c>
      <c r="BS1170" s="3">
        <v>46001</v>
      </c>
      <c r="BT1170" s="4">
        <v>0.42638888888888887</v>
      </c>
      <c r="BU1170" t="s">
        <v>644</v>
      </c>
      <c r="BV1170" t="s">
        <v>84</v>
      </c>
      <c r="BY1170">
        <v>1200</v>
      </c>
      <c r="CA1170" t="s">
        <v>929</v>
      </c>
      <c r="CC1170" t="s">
        <v>101</v>
      </c>
      <c r="CD1170">
        <v>4000</v>
      </c>
      <c r="CE1170" t="s">
        <v>134</v>
      </c>
      <c r="CF1170" s="3">
        <v>46001</v>
      </c>
      <c r="CI1170">
        <v>1</v>
      </c>
      <c r="CJ1170">
        <v>1</v>
      </c>
      <c r="CK1170">
        <v>21</v>
      </c>
      <c r="CL1170" t="s">
        <v>87</v>
      </c>
    </row>
    <row r="1171" spans="1:90" x14ac:dyDescent="0.3">
      <c r="A1171" t="s">
        <v>72</v>
      </c>
      <c r="B1171" t="s">
        <v>73</v>
      </c>
      <c r="C1171" t="s">
        <v>74</v>
      </c>
      <c r="E1171" t="str">
        <f>"080069785417"</f>
        <v>080069785417</v>
      </c>
      <c r="F1171" s="3">
        <v>46000</v>
      </c>
      <c r="G1171">
        <v>202609</v>
      </c>
      <c r="H1171" t="s">
        <v>75</v>
      </c>
      <c r="I1171" t="s">
        <v>76</v>
      </c>
      <c r="J1171" t="s">
        <v>77</v>
      </c>
      <c r="K1171" t="s">
        <v>78</v>
      </c>
      <c r="L1171" t="s">
        <v>189</v>
      </c>
      <c r="M1171" t="s">
        <v>190</v>
      </c>
      <c r="N1171" t="s">
        <v>1905</v>
      </c>
      <c r="O1171" t="s">
        <v>89</v>
      </c>
      <c r="P1171" t="str">
        <f>"4170072582                    "</f>
        <v xml:space="preserve">4170072582                    </v>
      </c>
      <c r="Q1171">
        <v>0</v>
      </c>
      <c r="R1171">
        <v>0</v>
      </c>
      <c r="S1171">
        <v>0</v>
      </c>
      <c r="T1171">
        <v>0</v>
      </c>
      <c r="U1171">
        <v>0</v>
      </c>
      <c r="V1171">
        <v>0</v>
      </c>
      <c r="W1171">
        <v>0</v>
      </c>
      <c r="X1171">
        <v>0</v>
      </c>
      <c r="Y1171">
        <v>0</v>
      </c>
      <c r="Z1171">
        <v>0</v>
      </c>
      <c r="AA1171">
        <v>0</v>
      </c>
      <c r="AB1171">
        <v>0</v>
      </c>
      <c r="AC1171">
        <v>0</v>
      </c>
      <c r="AD1171">
        <v>0</v>
      </c>
      <c r="AE1171">
        <v>0</v>
      </c>
      <c r="AF1171">
        <v>0</v>
      </c>
      <c r="AG1171">
        <v>0</v>
      </c>
      <c r="AH1171">
        <v>0</v>
      </c>
      <c r="AI1171">
        <v>0</v>
      </c>
      <c r="AJ1171">
        <v>0</v>
      </c>
      <c r="AK1171">
        <v>0</v>
      </c>
      <c r="AL1171">
        <v>0</v>
      </c>
      <c r="AM1171">
        <v>0</v>
      </c>
      <c r="AN1171">
        <v>0</v>
      </c>
      <c r="AO1171">
        <v>0</v>
      </c>
      <c r="AP1171">
        <v>0</v>
      </c>
      <c r="AQ1171">
        <v>25.52</v>
      </c>
      <c r="AR1171">
        <v>0</v>
      </c>
      <c r="AS1171">
        <v>0</v>
      </c>
      <c r="AT1171">
        <v>0</v>
      </c>
      <c r="AU1171">
        <v>0</v>
      </c>
      <c r="AV1171">
        <v>0</v>
      </c>
      <c r="AW1171">
        <v>0</v>
      </c>
      <c r="AX1171">
        <v>0</v>
      </c>
      <c r="AY1171">
        <v>0</v>
      </c>
      <c r="AZ1171">
        <v>0</v>
      </c>
      <c r="BA1171">
        <v>0</v>
      </c>
      <c r="BB1171">
        <v>0</v>
      </c>
      <c r="BC1171">
        <v>0</v>
      </c>
      <c r="BD1171">
        <v>0</v>
      </c>
      <c r="BE1171">
        <v>0</v>
      </c>
      <c r="BF1171">
        <v>0</v>
      </c>
      <c r="BG1171">
        <v>0</v>
      </c>
      <c r="BH1171">
        <v>1</v>
      </c>
      <c r="BI1171">
        <v>1</v>
      </c>
      <c r="BJ1171">
        <v>0.2</v>
      </c>
      <c r="BK1171">
        <v>1</v>
      </c>
      <c r="BL1171">
        <v>76.06</v>
      </c>
      <c r="BM1171">
        <v>11.41</v>
      </c>
      <c r="BN1171">
        <v>87.47</v>
      </c>
      <c r="BO1171">
        <v>87.47</v>
      </c>
      <c r="BQ1171" t="s">
        <v>1906</v>
      </c>
      <c r="BR1171" t="s">
        <v>82</v>
      </c>
      <c r="BS1171" s="3">
        <v>46002</v>
      </c>
      <c r="BT1171" s="4">
        <v>0.48402777777777778</v>
      </c>
      <c r="BU1171" t="s">
        <v>1907</v>
      </c>
      <c r="BV1171" t="s">
        <v>87</v>
      </c>
      <c r="BY1171">
        <v>1200</v>
      </c>
      <c r="CA1171" t="s">
        <v>1908</v>
      </c>
      <c r="CC1171" t="s">
        <v>190</v>
      </c>
      <c r="CD1171">
        <v>3200</v>
      </c>
      <c r="CE1171" t="s">
        <v>134</v>
      </c>
      <c r="CI1171">
        <v>1</v>
      </c>
      <c r="CJ1171">
        <v>2</v>
      </c>
      <c r="CK1171">
        <v>21</v>
      </c>
      <c r="CL1171" t="s">
        <v>87</v>
      </c>
    </row>
    <row r="1172" spans="1:90" x14ac:dyDescent="0.3">
      <c r="A1172" t="s">
        <v>72</v>
      </c>
      <c r="B1172" t="s">
        <v>73</v>
      </c>
      <c r="C1172" t="s">
        <v>74</v>
      </c>
      <c r="E1172" t="str">
        <f>"080069785443"</f>
        <v>080069785443</v>
      </c>
      <c r="F1172" s="3">
        <v>46000</v>
      </c>
      <c r="G1172">
        <v>202609</v>
      </c>
      <c r="H1172" t="s">
        <v>75</v>
      </c>
      <c r="I1172" t="s">
        <v>76</v>
      </c>
      <c r="J1172" t="s">
        <v>77</v>
      </c>
      <c r="K1172" t="s">
        <v>78</v>
      </c>
      <c r="L1172" t="s">
        <v>156</v>
      </c>
      <c r="M1172" t="s">
        <v>157</v>
      </c>
      <c r="N1172" t="s">
        <v>1117</v>
      </c>
      <c r="O1172" t="s">
        <v>89</v>
      </c>
      <c r="P1172" t="str">
        <f>"4170072575                    "</f>
        <v xml:space="preserve">4170072575                    </v>
      </c>
      <c r="Q1172">
        <v>0</v>
      </c>
      <c r="R1172">
        <v>0</v>
      </c>
      <c r="S1172">
        <v>0</v>
      </c>
      <c r="T1172">
        <v>0</v>
      </c>
      <c r="U1172">
        <v>0</v>
      </c>
      <c r="V1172">
        <v>0</v>
      </c>
      <c r="W1172">
        <v>0</v>
      </c>
      <c r="X1172">
        <v>0</v>
      </c>
      <c r="Y1172">
        <v>0</v>
      </c>
      <c r="Z1172">
        <v>0</v>
      </c>
      <c r="AA1172">
        <v>0</v>
      </c>
      <c r="AB1172">
        <v>0</v>
      </c>
      <c r="AC1172">
        <v>0</v>
      </c>
      <c r="AD1172">
        <v>0</v>
      </c>
      <c r="AE1172">
        <v>0</v>
      </c>
      <c r="AF1172">
        <v>0</v>
      </c>
      <c r="AG1172">
        <v>0</v>
      </c>
      <c r="AH1172">
        <v>0</v>
      </c>
      <c r="AI1172">
        <v>0</v>
      </c>
      <c r="AJ1172">
        <v>0</v>
      </c>
      <c r="AK1172">
        <v>0</v>
      </c>
      <c r="AL1172">
        <v>0</v>
      </c>
      <c r="AM1172">
        <v>0</v>
      </c>
      <c r="AN1172">
        <v>0</v>
      </c>
      <c r="AO1172">
        <v>0</v>
      </c>
      <c r="AP1172">
        <v>0</v>
      </c>
      <c r="AQ1172">
        <v>25.52</v>
      </c>
      <c r="AR1172">
        <v>0</v>
      </c>
      <c r="AS1172">
        <v>0</v>
      </c>
      <c r="AT1172">
        <v>0</v>
      </c>
      <c r="AU1172">
        <v>0</v>
      </c>
      <c r="AV1172">
        <v>0</v>
      </c>
      <c r="AW1172">
        <v>0</v>
      </c>
      <c r="AX1172">
        <v>0</v>
      </c>
      <c r="AY1172">
        <v>0</v>
      </c>
      <c r="AZ1172">
        <v>0</v>
      </c>
      <c r="BA1172">
        <v>0</v>
      </c>
      <c r="BB1172">
        <v>0</v>
      </c>
      <c r="BC1172">
        <v>0</v>
      </c>
      <c r="BD1172">
        <v>0</v>
      </c>
      <c r="BE1172">
        <v>0</v>
      </c>
      <c r="BF1172">
        <v>0</v>
      </c>
      <c r="BG1172">
        <v>0</v>
      </c>
      <c r="BH1172">
        <v>1</v>
      </c>
      <c r="BI1172">
        <v>1</v>
      </c>
      <c r="BJ1172">
        <v>0.2</v>
      </c>
      <c r="BK1172">
        <v>1</v>
      </c>
      <c r="BL1172">
        <v>76.06</v>
      </c>
      <c r="BM1172">
        <v>11.41</v>
      </c>
      <c r="BN1172">
        <v>87.47</v>
      </c>
      <c r="BO1172">
        <v>87.47</v>
      </c>
      <c r="BQ1172" t="s">
        <v>1118</v>
      </c>
      <c r="BR1172" t="s">
        <v>82</v>
      </c>
      <c r="BS1172" s="3">
        <v>46001</v>
      </c>
      <c r="BT1172" s="4">
        <v>0.41666666666666669</v>
      </c>
      <c r="BU1172" t="s">
        <v>1909</v>
      </c>
      <c r="BV1172" t="s">
        <v>84</v>
      </c>
      <c r="BY1172">
        <v>1200</v>
      </c>
      <c r="CC1172" t="s">
        <v>157</v>
      </c>
      <c r="CD1172">
        <v>7441</v>
      </c>
      <c r="CE1172" t="s">
        <v>134</v>
      </c>
      <c r="CI1172">
        <v>1</v>
      </c>
      <c r="CJ1172">
        <v>1</v>
      </c>
      <c r="CK1172">
        <v>21</v>
      </c>
      <c r="CL1172" t="s">
        <v>87</v>
      </c>
    </row>
    <row r="1173" spans="1:90" x14ac:dyDescent="0.3">
      <c r="A1173" t="s">
        <v>72</v>
      </c>
      <c r="B1173" t="s">
        <v>73</v>
      </c>
      <c r="C1173" t="s">
        <v>74</v>
      </c>
      <c r="E1173" t="str">
        <f>"080069785464"</f>
        <v>080069785464</v>
      </c>
      <c r="F1173" s="3">
        <v>46000</v>
      </c>
      <c r="G1173">
        <v>202609</v>
      </c>
      <c r="H1173" t="s">
        <v>75</v>
      </c>
      <c r="I1173" t="s">
        <v>76</v>
      </c>
      <c r="J1173" t="s">
        <v>77</v>
      </c>
      <c r="K1173" t="s">
        <v>78</v>
      </c>
      <c r="L1173" t="s">
        <v>94</v>
      </c>
      <c r="M1173" t="s">
        <v>95</v>
      </c>
      <c r="N1173" t="s">
        <v>936</v>
      </c>
      <c r="O1173" t="s">
        <v>89</v>
      </c>
      <c r="P1173" t="str">
        <f>"4170072568                    "</f>
        <v xml:space="preserve">4170072568                    </v>
      </c>
      <c r="Q1173">
        <v>0</v>
      </c>
      <c r="R1173">
        <v>0</v>
      </c>
      <c r="S1173">
        <v>0</v>
      </c>
      <c r="T1173">
        <v>0</v>
      </c>
      <c r="U1173">
        <v>0</v>
      </c>
      <c r="V1173">
        <v>0</v>
      </c>
      <c r="W1173">
        <v>0</v>
      </c>
      <c r="X1173">
        <v>0</v>
      </c>
      <c r="Y1173">
        <v>0</v>
      </c>
      <c r="Z1173">
        <v>0</v>
      </c>
      <c r="AA1173">
        <v>0</v>
      </c>
      <c r="AB1173">
        <v>0</v>
      </c>
      <c r="AC1173">
        <v>0</v>
      </c>
      <c r="AD1173">
        <v>0</v>
      </c>
      <c r="AE1173">
        <v>0</v>
      </c>
      <c r="AF1173">
        <v>0</v>
      </c>
      <c r="AG1173">
        <v>0</v>
      </c>
      <c r="AH1173">
        <v>0</v>
      </c>
      <c r="AI1173">
        <v>0</v>
      </c>
      <c r="AJ1173">
        <v>0</v>
      </c>
      <c r="AK1173">
        <v>0</v>
      </c>
      <c r="AL1173">
        <v>0</v>
      </c>
      <c r="AM1173">
        <v>0</v>
      </c>
      <c r="AN1173">
        <v>0</v>
      </c>
      <c r="AO1173">
        <v>0</v>
      </c>
      <c r="AP1173">
        <v>0</v>
      </c>
      <c r="AQ1173">
        <v>25.52</v>
      </c>
      <c r="AR1173">
        <v>0</v>
      </c>
      <c r="AS1173">
        <v>0</v>
      </c>
      <c r="AT1173">
        <v>0</v>
      </c>
      <c r="AU1173">
        <v>0</v>
      </c>
      <c r="AV1173">
        <v>0</v>
      </c>
      <c r="AW1173">
        <v>0</v>
      </c>
      <c r="AX1173">
        <v>0</v>
      </c>
      <c r="AY1173">
        <v>0</v>
      </c>
      <c r="AZ1173">
        <v>0</v>
      </c>
      <c r="BA1173">
        <v>0</v>
      </c>
      <c r="BB1173">
        <v>0</v>
      </c>
      <c r="BC1173">
        <v>0</v>
      </c>
      <c r="BD1173">
        <v>0</v>
      </c>
      <c r="BE1173">
        <v>0</v>
      </c>
      <c r="BF1173">
        <v>0</v>
      </c>
      <c r="BG1173">
        <v>0</v>
      </c>
      <c r="BH1173">
        <v>1</v>
      </c>
      <c r="BI1173">
        <v>0.2</v>
      </c>
      <c r="BJ1173">
        <v>1.6</v>
      </c>
      <c r="BK1173">
        <v>2</v>
      </c>
      <c r="BL1173">
        <v>76.06</v>
      </c>
      <c r="BM1173">
        <v>11.41</v>
      </c>
      <c r="BN1173">
        <v>87.47</v>
      </c>
      <c r="BO1173">
        <v>87.47</v>
      </c>
      <c r="BQ1173" t="s">
        <v>937</v>
      </c>
      <c r="BR1173" t="s">
        <v>82</v>
      </c>
      <c r="BS1173" s="3">
        <v>46001</v>
      </c>
      <c r="BT1173" s="4">
        <v>0.38611111111111113</v>
      </c>
      <c r="BU1173" t="s">
        <v>1910</v>
      </c>
      <c r="BV1173" t="s">
        <v>84</v>
      </c>
      <c r="BY1173">
        <v>7838.41</v>
      </c>
      <c r="CA1173" t="s">
        <v>929</v>
      </c>
      <c r="CC1173" t="s">
        <v>95</v>
      </c>
      <c r="CD1173">
        <v>3610</v>
      </c>
      <c r="CE1173" t="s">
        <v>86</v>
      </c>
      <c r="CF1173" s="3">
        <v>46001</v>
      </c>
      <c r="CI1173">
        <v>1</v>
      </c>
      <c r="CJ1173">
        <v>1</v>
      </c>
      <c r="CK1173">
        <v>21</v>
      </c>
      <c r="CL1173" t="s">
        <v>87</v>
      </c>
    </row>
    <row r="1174" spans="1:90" x14ac:dyDescent="0.3">
      <c r="A1174" t="s">
        <v>72</v>
      </c>
      <c r="B1174" t="s">
        <v>73</v>
      </c>
      <c r="C1174" t="s">
        <v>74</v>
      </c>
      <c r="E1174" t="str">
        <f>"080069785526"</f>
        <v>080069785526</v>
      </c>
      <c r="F1174" s="3">
        <v>46000</v>
      </c>
      <c r="G1174">
        <v>202609</v>
      </c>
      <c r="H1174" t="s">
        <v>75</v>
      </c>
      <c r="I1174" t="s">
        <v>76</v>
      </c>
      <c r="J1174" t="s">
        <v>77</v>
      </c>
      <c r="K1174" t="s">
        <v>78</v>
      </c>
      <c r="L1174" t="s">
        <v>141</v>
      </c>
      <c r="M1174" t="s">
        <v>142</v>
      </c>
      <c r="N1174" t="s">
        <v>708</v>
      </c>
      <c r="O1174" t="s">
        <v>89</v>
      </c>
      <c r="P1174" t="str">
        <f>"4170072590                    "</f>
        <v xml:space="preserve">4170072590                    </v>
      </c>
      <c r="Q1174">
        <v>0</v>
      </c>
      <c r="R1174">
        <v>0</v>
      </c>
      <c r="S1174">
        <v>0</v>
      </c>
      <c r="T1174">
        <v>0</v>
      </c>
      <c r="U1174">
        <v>0</v>
      </c>
      <c r="V1174">
        <v>0</v>
      </c>
      <c r="W1174">
        <v>0</v>
      </c>
      <c r="X1174">
        <v>0</v>
      </c>
      <c r="Y1174">
        <v>0</v>
      </c>
      <c r="Z1174">
        <v>0</v>
      </c>
      <c r="AA1174">
        <v>0</v>
      </c>
      <c r="AB1174">
        <v>0</v>
      </c>
      <c r="AC1174">
        <v>0</v>
      </c>
      <c r="AD1174">
        <v>0</v>
      </c>
      <c r="AE1174">
        <v>0</v>
      </c>
      <c r="AF1174">
        <v>0</v>
      </c>
      <c r="AG1174">
        <v>0</v>
      </c>
      <c r="AH1174">
        <v>0</v>
      </c>
      <c r="AI1174">
        <v>0</v>
      </c>
      <c r="AJ1174">
        <v>0</v>
      </c>
      <c r="AK1174">
        <v>0</v>
      </c>
      <c r="AL1174">
        <v>0</v>
      </c>
      <c r="AM1174">
        <v>0</v>
      </c>
      <c r="AN1174">
        <v>0</v>
      </c>
      <c r="AO1174">
        <v>0</v>
      </c>
      <c r="AP1174">
        <v>0</v>
      </c>
      <c r="AQ1174">
        <v>25.52</v>
      </c>
      <c r="AR1174">
        <v>0</v>
      </c>
      <c r="AS1174">
        <v>0</v>
      </c>
      <c r="AT1174">
        <v>0</v>
      </c>
      <c r="AU1174">
        <v>0</v>
      </c>
      <c r="AV1174">
        <v>0</v>
      </c>
      <c r="AW1174">
        <v>0</v>
      </c>
      <c r="AX1174">
        <v>0</v>
      </c>
      <c r="AY1174">
        <v>0</v>
      </c>
      <c r="AZ1174">
        <v>0</v>
      </c>
      <c r="BA1174">
        <v>0</v>
      </c>
      <c r="BB1174">
        <v>0</v>
      </c>
      <c r="BC1174">
        <v>0</v>
      </c>
      <c r="BD1174">
        <v>0</v>
      </c>
      <c r="BE1174">
        <v>0</v>
      </c>
      <c r="BF1174">
        <v>0</v>
      </c>
      <c r="BG1174">
        <v>0</v>
      </c>
      <c r="BH1174">
        <v>1</v>
      </c>
      <c r="BI1174">
        <v>0.2</v>
      </c>
      <c r="BJ1174">
        <v>1.6</v>
      </c>
      <c r="BK1174">
        <v>2</v>
      </c>
      <c r="BL1174">
        <v>76.06</v>
      </c>
      <c r="BM1174">
        <v>11.41</v>
      </c>
      <c r="BN1174">
        <v>87.47</v>
      </c>
      <c r="BO1174">
        <v>87.47</v>
      </c>
      <c r="BQ1174" t="s">
        <v>709</v>
      </c>
      <c r="BR1174" t="s">
        <v>82</v>
      </c>
      <c r="BS1174" s="3">
        <v>46001</v>
      </c>
      <c r="BT1174" s="4">
        <v>0.43611111111111112</v>
      </c>
      <c r="BU1174" t="s">
        <v>1573</v>
      </c>
      <c r="BV1174" t="s">
        <v>84</v>
      </c>
      <c r="BY1174">
        <v>8171.85</v>
      </c>
      <c r="CA1174" t="s">
        <v>489</v>
      </c>
      <c r="CC1174" t="s">
        <v>142</v>
      </c>
      <c r="CD1174">
        <v>6012</v>
      </c>
      <c r="CE1174" t="s">
        <v>86</v>
      </c>
      <c r="CF1174" s="3">
        <v>46001</v>
      </c>
      <c r="CI1174">
        <v>1</v>
      </c>
      <c r="CJ1174">
        <v>1</v>
      </c>
      <c r="CK1174">
        <v>21</v>
      </c>
      <c r="CL1174" t="s">
        <v>87</v>
      </c>
    </row>
    <row r="1175" spans="1:90" x14ac:dyDescent="0.3">
      <c r="A1175" t="s">
        <v>72</v>
      </c>
      <c r="B1175" t="s">
        <v>73</v>
      </c>
      <c r="C1175" t="s">
        <v>74</v>
      </c>
      <c r="E1175" t="str">
        <f>"080069785574"</f>
        <v>080069785574</v>
      </c>
      <c r="F1175" s="3">
        <v>46000</v>
      </c>
      <c r="G1175">
        <v>202609</v>
      </c>
      <c r="H1175" t="s">
        <v>75</v>
      </c>
      <c r="I1175" t="s">
        <v>76</v>
      </c>
      <c r="J1175" t="s">
        <v>77</v>
      </c>
      <c r="K1175" t="s">
        <v>78</v>
      </c>
      <c r="L1175" t="s">
        <v>265</v>
      </c>
      <c r="M1175" t="s">
        <v>266</v>
      </c>
      <c r="N1175" t="s">
        <v>414</v>
      </c>
      <c r="O1175" t="s">
        <v>89</v>
      </c>
      <c r="P1175" t="str">
        <f>"4170072581                    "</f>
        <v xml:space="preserve">4170072581                    </v>
      </c>
      <c r="Q1175">
        <v>0</v>
      </c>
      <c r="R1175">
        <v>0</v>
      </c>
      <c r="S1175">
        <v>0</v>
      </c>
      <c r="T1175">
        <v>0</v>
      </c>
      <c r="U1175">
        <v>0</v>
      </c>
      <c r="V1175">
        <v>0</v>
      </c>
      <c r="W1175">
        <v>0</v>
      </c>
      <c r="X1175">
        <v>0</v>
      </c>
      <c r="Y1175">
        <v>0</v>
      </c>
      <c r="Z1175">
        <v>0</v>
      </c>
      <c r="AA1175">
        <v>0</v>
      </c>
      <c r="AB1175">
        <v>0</v>
      </c>
      <c r="AC1175">
        <v>0</v>
      </c>
      <c r="AD1175">
        <v>0</v>
      </c>
      <c r="AE1175">
        <v>0</v>
      </c>
      <c r="AF1175">
        <v>0</v>
      </c>
      <c r="AG1175">
        <v>0</v>
      </c>
      <c r="AH1175">
        <v>0</v>
      </c>
      <c r="AI1175">
        <v>0</v>
      </c>
      <c r="AJ1175">
        <v>0</v>
      </c>
      <c r="AK1175">
        <v>0</v>
      </c>
      <c r="AL1175">
        <v>0</v>
      </c>
      <c r="AM1175">
        <v>0</v>
      </c>
      <c r="AN1175">
        <v>0</v>
      </c>
      <c r="AO1175">
        <v>0</v>
      </c>
      <c r="AP1175">
        <v>0</v>
      </c>
      <c r="AQ1175">
        <v>19.940000000000001</v>
      </c>
      <c r="AR1175">
        <v>0</v>
      </c>
      <c r="AS1175">
        <v>0</v>
      </c>
      <c r="AT1175">
        <v>0</v>
      </c>
      <c r="AU1175">
        <v>0</v>
      </c>
      <c r="AV1175">
        <v>0</v>
      </c>
      <c r="AW1175">
        <v>0</v>
      </c>
      <c r="AX1175">
        <v>0</v>
      </c>
      <c r="AY1175">
        <v>0</v>
      </c>
      <c r="AZ1175">
        <v>0</v>
      </c>
      <c r="BA1175">
        <v>0</v>
      </c>
      <c r="BB1175">
        <v>0</v>
      </c>
      <c r="BC1175">
        <v>0</v>
      </c>
      <c r="BD1175">
        <v>0</v>
      </c>
      <c r="BE1175">
        <v>0</v>
      </c>
      <c r="BF1175">
        <v>0</v>
      </c>
      <c r="BG1175">
        <v>0</v>
      </c>
      <c r="BH1175">
        <v>1</v>
      </c>
      <c r="BI1175">
        <v>1.3</v>
      </c>
      <c r="BJ1175">
        <v>3.1</v>
      </c>
      <c r="BK1175">
        <v>4</v>
      </c>
      <c r="BL1175">
        <v>59.42</v>
      </c>
      <c r="BM1175">
        <v>8.91</v>
      </c>
      <c r="BN1175">
        <v>68.33</v>
      </c>
      <c r="BO1175">
        <v>68.33</v>
      </c>
      <c r="BQ1175" t="s">
        <v>415</v>
      </c>
      <c r="BR1175" t="s">
        <v>82</v>
      </c>
      <c r="BS1175" s="3">
        <v>46001</v>
      </c>
      <c r="BT1175" s="4">
        <v>0.32291666666666669</v>
      </c>
      <c r="BU1175" t="s">
        <v>416</v>
      </c>
      <c r="BV1175" t="s">
        <v>84</v>
      </c>
      <c r="BY1175">
        <v>15321.6</v>
      </c>
      <c r="CA1175" t="s">
        <v>417</v>
      </c>
      <c r="CC1175" t="s">
        <v>266</v>
      </c>
      <c r="CD1175">
        <v>1459</v>
      </c>
      <c r="CE1175" t="s">
        <v>86</v>
      </c>
      <c r="CF1175" s="3">
        <v>46001</v>
      </c>
      <c r="CI1175">
        <v>1</v>
      </c>
      <c r="CJ1175">
        <v>1</v>
      </c>
      <c r="CK1175">
        <v>22</v>
      </c>
      <c r="CL1175" t="s">
        <v>87</v>
      </c>
    </row>
    <row r="1176" spans="1:90" x14ac:dyDescent="0.3">
      <c r="A1176" t="s">
        <v>72</v>
      </c>
      <c r="B1176" t="s">
        <v>73</v>
      </c>
      <c r="C1176" t="s">
        <v>74</v>
      </c>
      <c r="E1176" t="str">
        <f>"080069785602"</f>
        <v>080069785602</v>
      </c>
      <c r="F1176" s="3">
        <v>46000</v>
      </c>
      <c r="G1176">
        <v>202609</v>
      </c>
      <c r="H1176" t="s">
        <v>75</v>
      </c>
      <c r="I1176" t="s">
        <v>76</v>
      </c>
      <c r="J1176" t="s">
        <v>77</v>
      </c>
      <c r="K1176" t="s">
        <v>78</v>
      </c>
      <c r="L1176" t="s">
        <v>128</v>
      </c>
      <c r="M1176" t="s">
        <v>129</v>
      </c>
      <c r="N1176" t="s">
        <v>1911</v>
      </c>
      <c r="O1176" t="s">
        <v>89</v>
      </c>
      <c r="P1176" t="str">
        <f>"4170072646                    "</f>
        <v xml:space="preserve">4170072646                    </v>
      </c>
      <c r="Q1176">
        <v>0</v>
      </c>
      <c r="R1176">
        <v>0</v>
      </c>
      <c r="S1176">
        <v>0</v>
      </c>
      <c r="T1176">
        <v>0</v>
      </c>
      <c r="U1176">
        <v>0</v>
      </c>
      <c r="V1176">
        <v>0</v>
      </c>
      <c r="W1176">
        <v>0</v>
      </c>
      <c r="X1176">
        <v>0</v>
      </c>
      <c r="Y1176">
        <v>0</v>
      </c>
      <c r="Z1176">
        <v>0</v>
      </c>
      <c r="AA1176">
        <v>0</v>
      </c>
      <c r="AB1176">
        <v>0</v>
      </c>
      <c r="AC1176">
        <v>0</v>
      </c>
      <c r="AD1176">
        <v>0</v>
      </c>
      <c r="AE1176">
        <v>0</v>
      </c>
      <c r="AF1176">
        <v>0</v>
      </c>
      <c r="AG1176">
        <v>0</v>
      </c>
      <c r="AH1176">
        <v>0</v>
      </c>
      <c r="AI1176">
        <v>0</v>
      </c>
      <c r="AJ1176">
        <v>0</v>
      </c>
      <c r="AK1176">
        <v>0</v>
      </c>
      <c r="AL1176">
        <v>0</v>
      </c>
      <c r="AM1176">
        <v>0</v>
      </c>
      <c r="AN1176">
        <v>0</v>
      </c>
      <c r="AO1176">
        <v>0</v>
      </c>
      <c r="AP1176">
        <v>0</v>
      </c>
      <c r="AQ1176">
        <v>25.52</v>
      </c>
      <c r="AR1176">
        <v>0</v>
      </c>
      <c r="AS1176">
        <v>0</v>
      </c>
      <c r="AT1176">
        <v>0</v>
      </c>
      <c r="AU1176">
        <v>0</v>
      </c>
      <c r="AV1176">
        <v>0</v>
      </c>
      <c r="AW1176">
        <v>0</v>
      </c>
      <c r="AX1176">
        <v>0</v>
      </c>
      <c r="AY1176">
        <v>0</v>
      </c>
      <c r="AZ1176">
        <v>0</v>
      </c>
      <c r="BA1176">
        <v>0</v>
      </c>
      <c r="BB1176">
        <v>0</v>
      </c>
      <c r="BC1176">
        <v>0</v>
      </c>
      <c r="BD1176">
        <v>0</v>
      </c>
      <c r="BE1176">
        <v>0</v>
      </c>
      <c r="BF1176">
        <v>0</v>
      </c>
      <c r="BG1176">
        <v>0</v>
      </c>
      <c r="BH1176">
        <v>1</v>
      </c>
      <c r="BI1176">
        <v>1</v>
      </c>
      <c r="BJ1176">
        <v>0.2</v>
      </c>
      <c r="BK1176">
        <v>1</v>
      </c>
      <c r="BL1176">
        <v>76.06</v>
      </c>
      <c r="BM1176">
        <v>11.41</v>
      </c>
      <c r="BN1176">
        <v>87.47</v>
      </c>
      <c r="BO1176">
        <v>87.47</v>
      </c>
      <c r="BQ1176" t="s">
        <v>1912</v>
      </c>
      <c r="BR1176" t="s">
        <v>82</v>
      </c>
      <c r="BS1176" s="3">
        <v>46001</v>
      </c>
      <c r="BT1176" s="4">
        <v>0.59305555555555556</v>
      </c>
      <c r="BU1176" t="s">
        <v>1913</v>
      </c>
      <c r="BV1176" t="s">
        <v>84</v>
      </c>
      <c r="BY1176">
        <v>1200</v>
      </c>
      <c r="CA1176" t="s">
        <v>133</v>
      </c>
      <c r="CC1176" t="s">
        <v>129</v>
      </c>
      <c r="CD1176">
        <v>5201</v>
      </c>
      <c r="CE1176" t="s">
        <v>134</v>
      </c>
      <c r="CF1176" s="3">
        <v>46002</v>
      </c>
      <c r="CI1176">
        <v>5</v>
      </c>
      <c r="CJ1176">
        <v>1</v>
      </c>
      <c r="CK1176">
        <v>21</v>
      </c>
      <c r="CL1176" t="s">
        <v>87</v>
      </c>
    </row>
    <row r="1177" spans="1:90" x14ac:dyDescent="0.3">
      <c r="A1177" t="s">
        <v>72</v>
      </c>
      <c r="B1177" t="s">
        <v>73</v>
      </c>
      <c r="C1177" t="s">
        <v>74</v>
      </c>
      <c r="E1177" t="str">
        <f>"080069785620"</f>
        <v>080069785620</v>
      </c>
      <c r="F1177" s="3">
        <v>46000</v>
      </c>
      <c r="G1177">
        <v>202609</v>
      </c>
      <c r="H1177" t="s">
        <v>75</v>
      </c>
      <c r="I1177" t="s">
        <v>76</v>
      </c>
      <c r="J1177" t="s">
        <v>77</v>
      </c>
      <c r="K1177" t="s">
        <v>78</v>
      </c>
      <c r="L1177" t="s">
        <v>625</v>
      </c>
      <c r="M1177" t="s">
        <v>626</v>
      </c>
      <c r="N1177" t="s">
        <v>627</v>
      </c>
      <c r="O1177" t="s">
        <v>80</v>
      </c>
      <c r="P1177" t="str">
        <f>"4170072577                    "</f>
        <v xml:space="preserve">4170072577                    </v>
      </c>
      <c r="Q1177">
        <v>0</v>
      </c>
      <c r="R1177">
        <v>0</v>
      </c>
      <c r="S1177">
        <v>0</v>
      </c>
      <c r="T1177">
        <v>0</v>
      </c>
      <c r="U1177">
        <v>0</v>
      </c>
      <c r="V1177">
        <v>0</v>
      </c>
      <c r="W1177">
        <v>0</v>
      </c>
      <c r="X1177">
        <v>0</v>
      </c>
      <c r="Y1177">
        <v>0</v>
      </c>
      <c r="Z1177">
        <v>0</v>
      </c>
      <c r="AA1177">
        <v>0</v>
      </c>
      <c r="AB1177">
        <v>0</v>
      </c>
      <c r="AC1177">
        <v>0</v>
      </c>
      <c r="AD1177">
        <v>0</v>
      </c>
      <c r="AE1177">
        <v>0</v>
      </c>
      <c r="AF1177">
        <v>0</v>
      </c>
      <c r="AG1177">
        <v>0</v>
      </c>
      <c r="AH1177">
        <v>0</v>
      </c>
      <c r="AI1177">
        <v>0</v>
      </c>
      <c r="AJ1177">
        <v>0</v>
      </c>
      <c r="AK1177">
        <v>0</v>
      </c>
      <c r="AL1177">
        <v>0</v>
      </c>
      <c r="AM1177">
        <v>0</v>
      </c>
      <c r="AN1177">
        <v>0</v>
      </c>
      <c r="AO1177">
        <v>0</v>
      </c>
      <c r="AP1177">
        <v>0</v>
      </c>
      <c r="AQ1177">
        <v>49.36</v>
      </c>
      <c r="AR1177">
        <v>0</v>
      </c>
      <c r="AS1177">
        <v>0</v>
      </c>
      <c r="AT1177">
        <v>0</v>
      </c>
      <c r="AU1177">
        <v>0</v>
      </c>
      <c r="AV1177">
        <v>0</v>
      </c>
      <c r="AW1177">
        <v>0</v>
      </c>
      <c r="AX1177">
        <v>0</v>
      </c>
      <c r="AY1177">
        <v>0</v>
      </c>
      <c r="AZ1177">
        <v>0</v>
      </c>
      <c r="BA1177">
        <v>0</v>
      </c>
      <c r="BB1177">
        <v>0</v>
      </c>
      <c r="BC1177">
        <v>0</v>
      </c>
      <c r="BD1177">
        <v>0</v>
      </c>
      <c r="BE1177">
        <v>0</v>
      </c>
      <c r="BF1177">
        <v>0</v>
      </c>
      <c r="BG1177">
        <v>0</v>
      </c>
      <c r="BH1177">
        <v>1</v>
      </c>
      <c r="BI1177">
        <v>3</v>
      </c>
      <c r="BJ1177">
        <v>1.3</v>
      </c>
      <c r="BK1177">
        <v>3</v>
      </c>
      <c r="BL1177">
        <v>153.19999999999999</v>
      </c>
      <c r="BM1177">
        <v>22.98</v>
      </c>
      <c r="BN1177">
        <v>176.18</v>
      </c>
      <c r="BO1177">
        <v>176.18</v>
      </c>
      <c r="BQ1177" t="s">
        <v>628</v>
      </c>
      <c r="BR1177" t="s">
        <v>82</v>
      </c>
      <c r="BS1177" s="3">
        <v>46001</v>
      </c>
      <c r="BT1177" s="4">
        <v>0.71597222222222223</v>
      </c>
      <c r="BU1177" t="s">
        <v>1914</v>
      </c>
      <c r="BV1177" t="s">
        <v>84</v>
      </c>
      <c r="BY1177">
        <v>6555</v>
      </c>
      <c r="CA1177" t="s">
        <v>1541</v>
      </c>
      <c r="CC1177" t="s">
        <v>626</v>
      </c>
      <c r="CD1177">
        <v>4026</v>
      </c>
      <c r="CE1177" t="s">
        <v>654</v>
      </c>
      <c r="CI1177">
        <v>1</v>
      </c>
      <c r="CJ1177">
        <v>1</v>
      </c>
      <c r="CK1177">
        <v>41</v>
      </c>
      <c r="CL1177" t="s">
        <v>87</v>
      </c>
    </row>
    <row r="1178" spans="1:90" x14ac:dyDescent="0.3">
      <c r="A1178" t="s">
        <v>72</v>
      </c>
      <c r="B1178" t="s">
        <v>73</v>
      </c>
      <c r="C1178" t="s">
        <v>74</v>
      </c>
      <c r="E1178" t="str">
        <f>"080069785661"</f>
        <v>080069785661</v>
      </c>
      <c r="F1178" s="3">
        <v>46000</v>
      </c>
      <c r="G1178">
        <v>202609</v>
      </c>
      <c r="H1178" t="s">
        <v>75</v>
      </c>
      <c r="I1178" t="s">
        <v>76</v>
      </c>
      <c r="J1178" t="s">
        <v>77</v>
      </c>
      <c r="K1178" t="s">
        <v>78</v>
      </c>
      <c r="L1178" t="s">
        <v>202</v>
      </c>
      <c r="M1178" t="s">
        <v>203</v>
      </c>
      <c r="N1178" t="s">
        <v>204</v>
      </c>
      <c r="O1178" t="s">
        <v>89</v>
      </c>
      <c r="P1178" t="str">
        <f>"4170072563                    "</f>
        <v xml:space="preserve">4170072563                    </v>
      </c>
      <c r="Q1178">
        <v>0</v>
      </c>
      <c r="R1178">
        <v>0</v>
      </c>
      <c r="S1178">
        <v>0</v>
      </c>
      <c r="T1178">
        <v>0</v>
      </c>
      <c r="U1178">
        <v>0</v>
      </c>
      <c r="V1178">
        <v>0</v>
      </c>
      <c r="W1178">
        <v>0</v>
      </c>
      <c r="X1178">
        <v>0</v>
      </c>
      <c r="Y1178">
        <v>0</v>
      </c>
      <c r="Z1178">
        <v>0</v>
      </c>
      <c r="AA1178">
        <v>0</v>
      </c>
      <c r="AB1178">
        <v>0</v>
      </c>
      <c r="AC1178">
        <v>0</v>
      </c>
      <c r="AD1178">
        <v>0</v>
      </c>
      <c r="AE1178">
        <v>0</v>
      </c>
      <c r="AF1178">
        <v>0</v>
      </c>
      <c r="AG1178">
        <v>0</v>
      </c>
      <c r="AH1178">
        <v>0</v>
      </c>
      <c r="AI1178">
        <v>0</v>
      </c>
      <c r="AJ1178">
        <v>0</v>
      </c>
      <c r="AK1178">
        <v>0</v>
      </c>
      <c r="AL1178">
        <v>0</v>
      </c>
      <c r="AM1178">
        <v>0</v>
      </c>
      <c r="AN1178">
        <v>0</v>
      </c>
      <c r="AO1178">
        <v>0</v>
      </c>
      <c r="AP1178">
        <v>0</v>
      </c>
      <c r="AQ1178">
        <v>49.45</v>
      </c>
      <c r="AR1178">
        <v>0</v>
      </c>
      <c r="AS1178">
        <v>0</v>
      </c>
      <c r="AT1178">
        <v>0</v>
      </c>
      <c r="AU1178">
        <v>0</v>
      </c>
      <c r="AV1178">
        <v>0</v>
      </c>
      <c r="AW1178">
        <v>0</v>
      </c>
      <c r="AX1178">
        <v>0</v>
      </c>
      <c r="AY1178">
        <v>0</v>
      </c>
      <c r="AZ1178">
        <v>0</v>
      </c>
      <c r="BA1178">
        <v>0</v>
      </c>
      <c r="BB1178">
        <v>0</v>
      </c>
      <c r="BC1178">
        <v>0</v>
      </c>
      <c r="BD1178">
        <v>0</v>
      </c>
      <c r="BE1178">
        <v>0</v>
      </c>
      <c r="BF1178">
        <v>0</v>
      </c>
      <c r="BG1178">
        <v>0</v>
      </c>
      <c r="BH1178">
        <v>1</v>
      </c>
      <c r="BI1178">
        <v>0.8</v>
      </c>
      <c r="BJ1178">
        <v>1.2</v>
      </c>
      <c r="BK1178">
        <v>1.5</v>
      </c>
      <c r="BL1178">
        <v>147.38</v>
      </c>
      <c r="BM1178">
        <v>22.11</v>
      </c>
      <c r="BN1178">
        <v>169.49</v>
      </c>
      <c r="BO1178">
        <v>169.49</v>
      </c>
      <c r="BQ1178" t="s">
        <v>205</v>
      </c>
      <c r="BR1178" t="s">
        <v>82</v>
      </c>
      <c r="BS1178" s="3">
        <v>46001</v>
      </c>
      <c r="BT1178" s="4">
        <v>0.42916666666666664</v>
      </c>
      <c r="BU1178" t="s">
        <v>1915</v>
      </c>
      <c r="BV1178" t="s">
        <v>84</v>
      </c>
      <c r="BY1178">
        <v>5876.42</v>
      </c>
      <c r="CA1178">
        <v>7908245451080</v>
      </c>
      <c r="CC1178" t="s">
        <v>203</v>
      </c>
      <c r="CD1178">
        <v>2531</v>
      </c>
      <c r="CE1178" t="s">
        <v>86</v>
      </c>
      <c r="CF1178" s="3">
        <v>46002</v>
      </c>
      <c r="CI1178">
        <v>1</v>
      </c>
      <c r="CJ1178">
        <v>1</v>
      </c>
      <c r="CK1178">
        <v>23</v>
      </c>
      <c r="CL1178" t="s">
        <v>87</v>
      </c>
    </row>
    <row r="1179" spans="1:90" x14ac:dyDescent="0.3">
      <c r="A1179" t="s">
        <v>72</v>
      </c>
      <c r="B1179" t="s">
        <v>73</v>
      </c>
      <c r="C1179" t="s">
        <v>74</v>
      </c>
      <c r="E1179" t="str">
        <f>"080069786150"</f>
        <v>080069786150</v>
      </c>
      <c r="F1179" s="3">
        <v>46000</v>
      </c>
      <c r="G1179">
        <v>202609</v>
      </c>
      <c r="H1179" t="s">
        <v>75</v>
      </c>
      <c r="I1179" t="s">
        <v>76</v>
      </c>
      <c r="J1179" t="s">
        <v>77</v>
      </c>
      <c r="K1179" t="s">
        <v>78</v>
      </c>
      <c r="L1179" t="s">
        <v>156</v>
      </c>
      <c r="M1179" t="s">
        <v>157</v>
      </c>
      <c r="N1179" t="s">
        <v>158</v>
      </c>
      <c r="O1179" t="s">
        <v>80</v>
      </c>
      <c r="P1179" t="str">
        <f>"4170072533                    "</f>
        <v xml:space="preserve">4170072533                    </v>
      </c>
      <c r="Q1179">
        <v>0</v>
      </c>
      <c r="R1179">
        <v>0</v>
      </c>
      <c r="S1179">
        <v>0</v>
      </c>
      <c r="T1179">
        <v>0</v>
      </c>
      <c r="U1179">
        <v>0</v>
      </c>
      <c r="V1179">
        <v>0</v>
      </c>
      <c r="W1179">
        <v>0</v>
      </c>
      <c r="X1179">
        <v>0</v>
      </c>
      <c r="Y1179">
        <v>0</v>
      </c>
      <c r="Z1179">
        <v>0</v>
      </c>
      <c r="AA1179">
        <v>0</v>
      </c>
      <c r="AB1179">
        <v>0</v>
      </c>
      <c r="AC1179">
        <v>0</v>
      </c>
      <c r="AD1179">
        <v>0</v>
      </c>
      <c r="AE1179">
        <v>0</v>
      </c>
      <c r="AF1179">
        <v>0</v>
      </c>
      <c r="AG1179">
        <v>0</v>
      </c>
      <c r="AH1179">
        <v>0</v>
      </c>
      <c r="AI1179">
        <v>0</v>
      </c>
      <c r="AJ1179">
        <v>0</v>
      </c>
      <c r="AK1179">
        <v>0</v>
      </c>
      <c r="AL1179">
        <v>0</v>
      </c>
      <c r="AM1179">
        <v>0</v>
      </c>
      <c r="AN1179">
        <v>0</v>
      </c>
      <c r="AO1179">
        <v>0</v>
      </c>
      <c r="AP1179">
        <v>0</v>
      </c>
      <c r="AQ1179">
        <v>371.71</v>
      </c>
      <c r="AR1179">
        <v>0</v>
      </c>
      <c r="AS1179">
        <v>0</v>
      </c>
      <c r="AT1179">
        <v>0</v>
      </c>
      <c r="AU1179">
        <v>0</v>
      </c>
      <c r="AV1179">
        <v>0</v>
      </c>
      <c r="AW1179">
        <v>0</v>
      </c>
      <c r="AX1179">
        <v>0</v>
      </c>
      <c r="AY1179">
        <v>0</v>
      </c>
      <c r="AZ1179">
        <v>0</v>
      </c>
      <c r="BA1179">
        <v>0</v>
      </c>
      <c r="BB1179">
        <v>0</v>
      </c>
      <c r="BC1179">
        <v>0</v>
      </c>
      <c r="BD1179">
        <v>0</v>
      </c>
      <c r="BE1179">
        <v>0</v>
      </c>
      <c r="BF1179">
        <v>0</v>
      </c>
      <c r="BG1179">
        <v>0</v>
      </c>
      <c r="BH1179">
        <v>4</v>
      </c>
      <c r="BI1179">
        <v>120.7</v>
      </c>
      <c r="BJ1179">
        <v>172.9</v>
      </c>
      <c r="BK1179">
        <v>173</v>
      </c>
      <c r="BL1179">
        <v>1113.8699999999999</v>
      </c>
      <c r="BM1179">
        <v>167.08</v>
      </c>
      <c r="BN1179">
        <v>1280.95</v>
      </c>
      <c r="BO1179">
        <v>1280.95</v>
      </c>
      <c r="BQ1179" t="s">
        <v>159</v>
      </c>
      <c r="BR1179" t="s">
        <v>82</v>
      </c>
      <c r="BS1179" s="3">
        <v>46002</v>
      </c>
      <c r="BT1179" s="4">
        <v>0.37708333333333333</v>
      </c>
      <c r="BU1179" t="s">
        <v>1875</v>
      </c>
      <c r="BV1179" t="s">
        <v>84</v>
      </c>
      <c r="BY1179">
        <v>864617.38</v>
      </c>
      <c r="CA1179" t="s">
        <v>1876</v>
      </c>
      <c r="CC1179" t="s">
        <v>157</v>
      </c>
      <c r="CD1179">
        <v>7530</v>
      </c>
      <c r="CE1179" t="s">
        <v>93</v>
      </c>
      <c r="CI1179">
        <v>3</v>
      </c>
      <c r="CJ1179">
        <v>2</v>
      </c>
      <c r="CK1179">
        <v>41</v>
      </c>
      <c r="CL1179" t="s">
        <v>87</v>
      </c>
    </row>
    <row r="1180" spans="1:90" x14ac:dyDescent="0.3">
      <c r="A1180" t="s">
        <v>72</v>
      </c>
      <c r="B1180" t="s">
        <v>73</v>
      </c>
      <c r="C1180" t="s">
        <v>74</v>
      </c>
      <c r="E1180" t="str">
        <f>"080069786279"</f>
        <v>080069786279</v>
      </c>
      <c r="F1180" s="3">
        <v>46000</v>
      </c>
      <c r="G1180">
        <v>202609</v>
      </c>
      <c r="H1180" t="s">
        <v>75</v>
      </c>
      <c r="I1180" t="s">
        <v>76</v>
      </c>
      <c r="J1180" t="s">
        <v>77</v>
      </c>
      <c r="K1180" t="s">
        <v>78</v>
      </c>
      <c r="L1180" t="s">
        <v>141</v>
      </c>
      <c r="M1180" t="s">
        <v>142</v>
      </c>
      <c r="N1180" t="s">
        <v>568</v>
      </c>
      <c r="O1180" t="s">
        <v>89</v>
      </c>
      <c r="P1180" t="str">
        <f>"4170072722                    "</f>
        <v xml:space="preserve">4170072722                    </v>
      </c>
      <c r="Q1180">
        <v>0</v>
      </c>
      <c r="R1180">
        <v>0</v>
      </c>
      <c r="S1180">
        <v>0</v>
      </c>
      <c r="T1180">
        <v>0</v>
      </c>
      <c r="U1180">
        <v>0</v>
      </c>
      <c r="V1180">
        <v>0</v>
      </c>
      <c r="W1180">
        <v>0</v>
      </c>
      <c r="X1180">
        <v>0</v>
      </c>
      <c r="Y1180">
        <v>0</v>
      </c>
      <c r="Z1180">
        <v>0</v>
      </c>
      <c r="AA1180">
        <v>0</v>
      </c>
      <c r="AB1180">
        <v>0</v>
      </c>
      <c r="AC1180">
        <v>0</v>
      </c>
      <c r="AD1180">
        <v>0</v>
      </c>
      <c r="AE1180">
        <v>0</v>
      </c>
      <c r="AF1180">
        <v>0</v>
      </c>
      <c r="AG1180">
        <v>0</v>
      </c>
      <c r="AH1180">
        <v>0</v>
      </c>
      <c r="AI1180">
        <v>0</v>
      </c>
      <c r="AJ1180">
        <v>0</v>
      </c>
      <c r="AK1180">
        <v>0</v>
      </c>
      <c r="AL1180">
        <v>0</v>
      </c>
      <c r="AM1180">
        <v>0</v>
      </c>
      <c r="AN1180">
        <v>0</v>
      </c>
      <c r="AO1180">
        <v>0</v>
      </c>
      <c r="AP1180">
        <v>0</v>
      </c>
      <c r="AQ1180">
        <v>25.52</v>
      </c>
      <c r="AR1180">
        <v>0</v>
      </c>
      <c r="AS1180">
        <v>0</v>
      </c>
      <c r="AT1180">
        <v>0</v>
      </c>
      <c r="AU1180">
        <v>0</v>
      </c>
      <c r="AV1180">
        <v>0</v>
      </c>
      <c r="AW1180">
        <v>0</v>
      </c>
      <c r="AX1180">
        <v>0</v>
      </c>
      <c r="AY1180">
        <v>0</v>
      </c>
      <c r="AZ1180">
        <v>0</v>
      </c>
      <c r="BA1180">
        <v>0</v>
      </c>
      <c r="BB1180">
        <v>0</v>
      </c>
      <c r="BC1180">
        <v>0</v>
      </c>
      <c r="BD1180">
        <v>0</v>
      </c>
      <c r="BE1180">
        <v>0</v>
      </c>
      <c r="BF1180">
        <v>0</v>
      </c>
      <c r="BG1180">
        <v>0</v>
      </c>
      <c r="BH1180">
        <v>1</v>
      </c>
      <c r="BI1180">
        <v>1</v>
      </c>
      <c r="BJ1180">
        <v>0.2</v>
      </c>
      <c r="BK1180">
        <v>1</v>
      </c>
      <c r="BL1180">
        <v>76.06</v>
      </c>
      <c r="BM1180">
        <v>11.41</v>
      </c>
      <c r="BN1180">
        <v>87.47</v>
      </c>
      <c r="BO1180">
        <v>87.47</v>
      </c>
      <c r="BQ1180" t="s">
        <v>569</v>
      </c>
      <c r="BR1180" t="s">
        <v>82</v>
      </c>
      <c r="BS1180" s="3">
        <v>46001</v>
      </c>
      <c r="BT1180" s="4">
        <v>0.43263888888888891</v>
      </c>
      <c r="BU1180" t="s">
        <v>1904</v>
      </c>
      <c r="BV1180" t="s">
        <v>84</v>
      </c>
      <c r="BY1180">
        <v>1200</v>
      </c>
      <c r="CA1180" t="s">
        <v>571</v>
      </c>
      <c r="CC1180" t="s">
        <v>142</v>
      </c>
      <c r="CD1180">
        <v>6056</v>
      </c>
      <c r="CE1180" t="s">
        <v>134</v>
      </c>
      <c r="CI1180">
        <v>1</v>
      </c>
      <c r="CJ1180">
        <v>1</v>
      </c>
      <c r="CK1180">
        <v>21</v>
      </c>
      <c r="CL1180" t="s">
        <v>87</v>
      </c>
    </row>
    <row r="1181" spans="1:90" x14ac:dyDescent="0.3">
      <c r="A1181" t="s">
        <v>72</v>
      </c>
      <c r="B1181" t="s">
        <v>73</v>
      </c>
      <c r="C1181" t="s">
        <v>74</v>
      </c>
      <c r="E1181" t="str">
        <f>"080069786296"</f>
        <v>080069786296</v>
      </c>
      <c r="F1181" s="3">
        <v>46000</v>
      </c>
      <c r="G1181">
        <v>202609</v>
      </c>
      <c r="H1181" t="s">
        <v>75</v>
      </c>
      <c r="I1181" t="s">
        <v>76</v>
      </c>
      <c r="J1181" t="s">
        <v>77</v>
      </c>
      <c r="K1181" t="s">
        <v>78</v>
      </c>
      <c r="L1181" t="s">
        <v>265</v>
      </c>
      <c r="M1181" t="s">
        <v>266</v>
      </c>
      <c r="N1181" t="s">
        <v>320</v>
      </c>
      <c r="O1181" t="s">
        <v>89</v>
      </c>
      <c r="P1181" t="str">
        <f>"4170072627                    "</f>
        <v xml:space="preserve">4170072627                    </v>
      </c>
      <c r="Q1181">
        <v>0</v>
      </c>
      <c r="R1181">
        <v>0</v>
      </c>
      <c r="S1181">
        <v>0</v>
      </c>
      <c r="T1181">
        <v>0</v>
      </c>
      <c r="U1181">
        <v>0</v>
      </c>
      <c r="V1181">
        <v>0</v>
      </c>
      <c r="W1181">
        <v>0</v>
      </c>
      <c r="X1181">
        <v>0</v>
      </c>
      <c r="Y1181">
        <v>0</v>
      </c>
      <c r="Z1181">
        <v>0</v>
      </c>
      <c r="AA1181">
        <v>0</v>
      </c>
      <c r="AB1181">
        <v>0</v>
      </c>
      <c r="AC1181">
        <v>0</v>
      </c>
      <c r="AD1181">
        <v>0</v>
      </c>
      <c r="AE1181">
        <v>0</v>
      </c>
      <c r="AF1181">
        <v>0</v>
      </c>
      <c r="AG1181">
        <v>0</v>
      </c>
      <c r="AH1181">
        <v>0</v>
      </c>
      <c r="AI1181">
        <v>0</v>
      </c>
      <c r="AJ1181">
        <v>0</v>
      </c>
      <c r="AK1181">
        <v>0</v>
      </c>
      <c r="AL1181">
        <v>0</v>
      </c>
      <c r="AM1181">
        <v>0</v>
      </c>
      <c r="AN1181">
        <v>0</v>
      </c>
      <c r="AO1181">
        <v>0</v>
      </c>
      <c r="AP1181">
        <v>0</v>
      </c>
      <c r="AQ1181">
        <v>19.940000000000001</v>
      </c>
      <c r="AR1181">
        <v>0</v>
      </c>
      <c r="AS1181">
        <v>0</v>
      </c>
      <c r="AT1181">
        <v>0</v>
      </c>
      <c r="AU1181">
        <v>0</v>
      </c>
      <c r="AV1181">
        <v>0</v>
      </c>
      <c r="AW1181">
        <v>0</v>
      </c>
      <c r="AX1181">
        <v>0</v>
      </c>
      <c r="AY1181">
        <v>0</v>
      </c>
      <c r="AZ1181">
        <v>0</v>
      </c>
      <c r="BA1181">
        <v>0</v>
      </c>
      <c r="BB1181">
        <v>0</v>
      </c>
      <c r="BC1181">
        <v>0</v>
      </c>
      <c r="BD1181">
        <v>0</v>
      </c>
      <c r="BE1181">
        <v>0</v>
      </c>
      <c r="BF1181">
        <v>0</v>
      </c>
      <c r="BG1181">
        <v>0</v>
      </c>
      <c r="BH1181">
        <v>1</v>
      </c>
      <c r="BI1181">
        <v>1</v>
      </c>
      <c r="BJ1181">
        <v>0.2</v>
      </c>
      <c r="BK1181">
        <v>1</v>
      </c>
      <c r="BL1181">
        <v>59.42</v>
      </c>
      <c r="BM1181">
        <v>8.91</v>
      </c>
      <c r="BN1181">
        <v>68.33</v>
      </c>
      <c r="BO1181">
        <v>68.33</v>
      </c>
      <c r="BQ1181" t="s">
        <v>321</v>
      </c>
      <c r="BR1181" t="s">
        <v>82</v>
      </c>
      <c r="BS1181" s="3">
        <v>46001</v>
      </c>
      <c r="BT1181" s="4">
        <v>0.33194444444444443</v>
      </c>
      <c r="BU1181" t="s">
        <v>1916</v>
      </c>
      <c r="BV1181" t="s">
        <v>84</v>
      </c>
      <c r="BY1181">
        <v>1200</v>
      </c>
      <c r="CA1181" t="s">
        <v>1713</v>
      </c>
      <c r="CC1181" t="s">
        <v>266</v>
      </c>
      <c r="CD1181">
        <v>1459</v>
      </c>
      <c r="CE1181" t="s">
        <v>134</v>
      </c>
      <c r="CF1181" s="3">
        <v>46001</v>
      </c>
      <c r="CI1181">
        <v>1</v>
      </c>
      <c r="CJ1181">
        <v>1</v>
      </c>
      <c r="CK1181">
        <v>22</v>
      </c>
      <c r="CL1181" t="s">
        <v>87</v>
      </c>
    </row>
    <row r="1182" spans="1:90" x14ac:dyDescent="0.3">
      <c r="A1182" t="s">
        <v>72</v>
      </c>
      <c r="B1182" t="s">
        <v>73</v>
      </c>
      <c r="C1182" t="s">
        <v>74</v>
      </c>
      <c r="E1182" t="str">
        <f>"080069786751"</f>
        <v>080069786751</v>
      </c>
      <c r="F1182" s="3">
        <v>46000</v>
      </c>
      <c r="G1182">
        <v>202609</v>
      </c>
      <c r="H1182" t="s">
        <v>75</v>
      </c>
      <c r="I1182" t="s">
        <v>76</v>
      </c>
      <c r="J1182" t="s">
        <v>77</v>
      </c>
      <c r="K1182" t="s">
        <v>78</v>
      </c>
      <c r="L1182" t="s">
        <v>218</v>
      </c>
      <c r="M1182" t="s">
        <v>219</v>
      </c>
      <c r="N1182" t="s">
        <v>220</v>
      </c>
      <c r="O1182" t="s">
        <v>89</v>
      </c>
      <c r="P1182" t="str">
        <f>"4170072620                    "</f>
        <v xml:space="preserve">4170072620                    </v>
      </c>
      <c r="Q1182">
        <v>0</v>
      </c>
      <c r="R1182">
        <v>0</v>
      </c>
      <c r="S1182">
        <v>0</v>
      </c>
      <c r="T1182">
        <v>0</v>
      </c>
      <c r="U1182">
        <v>0</v>
      </c>
      <c r="V1182">
        <v>0</v>
      </c>
      <c r="W1182">
        <v>0</v>
      </c>
      <c r="X1182">
        <v>0</v>
      </c>
      <c r="Y1182">
        <v>0</v>
      </c>
      <c r="Z1182">
        <v>0</v>
      </c>
      <c r="AA1182">
        <v>0</v>
      </c>
      <c r="AB1182">
        <v>0</v>
      </c>
      <c r="AC1182">
        <v>0</v>
      </c>
      <c r="AD1182">
        <v>0</v>
      </c>
      <c r="AE1182">
        <v>0</v>
      </c>
      <c r="AF1182">
        <v>0</v>
      </c>
      <c r="AG1182">
        <v>0</v>
      </c>
      <c r="AH1182">
        <v>0</v>
      </c>
      <c r="AI1182">
        <v>0</v>
      </c>
      <c r="AJ1182">
        <v>0</v>
      </c>
      <c r="AK1182">
        <v>0</v>
      </c>
      <c r="AL1182">
        <v>0</v>
      </c>
      <c r="AM1182">
        <v>0</v>
      </c>
      <c r="AN1182">
        <v>0</v>
      </c>
      <c r="AO1182">
        <v>0</v>
      </c>
      <c r="AP1182">
        <v>0</v>
      </c>
      <c r="AQ1182">
        <v>49.45</v>
      </c>
      <c r="AR1182">
        <v>0</v>
      </c>
      <c r="AS1182">
        <v>0</v>
      </c>
      <c r="AT1182">
        <v>0</v>
      </c>
      <c r="AU1182">
        <v>0</v>
      </c>
      <c r="AV1182">
        <v>0</v>
      </c>
      <c r="AW1182">
        <v>0</v>
      </c>
      <c r="AX1182">
        <v>0</v>
      </c>
      <c r="AY1182">
        <v>0</v>
      </c>
      <c r="AZ1182">
        <v>0</v>
      </c>
      <c r="BA1182">
        <v>0</v>
      </c>
      <c r="BB1182">
        <v>0</v>
      </c>
      <c r="BC1182">
        <v>0</v>
      </c>
      <c r="BD1182">
        <v>0</v>
      </c>
      <c r="BE1182">
        <v>0</v>
      </c>
      <c r="BF1182">
        <v>0</v>
      </c>
      <c r="BG1182">
        <v>0</v>
      </c>
      <c r="BH1182">
        <v>1</v>
      </c>
      <c r="BI1182">
        <v>1</v>
      </c>
      <c r="BJ1182">
        <v>0.2</v>
      </c>
      <c r="BK1182">
        <v>1</v>
      </c>
      <c r="BL1182">
        <v>147.38</v>
      </c>
      <c r="BM1182">
        <v>22.11</v>
      </c>
      <c r="BN1182">
        <v>169.49</v>
      </c>
      <c r="BO1182">
        <v>169.49</v>
      </c>
      <c r="BQ1182" t="s">
        <v>221</v>
      </c>
      <c r="BR1182" t="s">
        <v>82</v>
      </c>
      <c r="BS1182" s="3">
        <v>46001</v>
      </c>
      <c r="BT1182" s="4">
        <v>0.29166666666666669</v>
      </c>
      <c r="BU1182" t="s">
        <v>1895</v>
      </c>
      <c r="BV1182" t="s">
        <v>84</v>
      </c>
      <c r="BY1182">
        <v>1200</v>
      </c>
      <c r="CA1182" t="s">
        <v>432</v>
      </c>
      <c r="CC1182" t="s">
        <v>219</v>
      </c>
      <c r="CD1182">
        <v>2740</v>
      </c>
      <c r="CE1182" t="s">
        <v>134</v>
      </c>
      <c r="CF1182" s="3">
        <v>46002</v>
      </c>
      <c r="CI1182">
        <v>1</v>
      </c>
      <c r="CJ1182">
        <v>1</v>
      </c>
      <c r="CK1182">
        <v>23</v>
      </c>
      <c r="CL1182" t="s">
        <v>87</v>
      </c>
    </row>
    <row r="1183" spans="1:90" x14ac:dyDescent="0.3">
      <c r="A1183" t="s">
        <v>72</v>
      </c>
      <c r="B1183" t="s">
        <v>73</v>
      </c>
      <c r="C1183" t="s">
        <v>74</v>
      </c>
      <c r="E1183" t="str">
        <f>"080069787059"</f>
        <v>080069787059</v>
      </c>
      <c r="F1183" s="3">
        <v>46000</v>
      </c>
      <c r="G1183">
        <v>202609</v>
      </c>
      <c r="H1183" t="s">
        <v>75</v>
      </c>
      <c r="I1183" t="s">
        <v>76</v>
      </c>
      <c r="J1183" t="s">
        <v>77</v>
      </c>
      <c r="K1183" t="s">
        <v>78</v>
      </c>
      <c r="L1183" t="s">
        <v>141</v>
      </c>
      <c r="M1183" t="s">
        <v>142</v>
      </c>
      <c r="N1183" t="s">
        <v>587</v>
      </c>
      <c r="O1183" t="s">
        <v>89</v>
      </c>
      <c r="P1183" t="str">
        <f>"4170072564                    "</f>
        <v xml:space="preserve">4170072564                    </v>
      </c>
      <c r="Q1183">
        <v>0</v>
      </c>
      <c r="R1183">
        <v>0</v>
      </c>
      <c r="S1183">
        <v>0</v>
      </c>
      <c r="T1183">
        <v>0</v>
      </c>
      <c r="U1183">
        <v>0</v>
      </c>
      <c r="V1183">
        <v>0</v>
      </c>
      <c r="W1183">
        <v>0</v>
      </c>
      <c r="X1183">
        <v>0</v>
      </c>
      <c r="Y1183">
        <v>0</v>
      </c>
      <c r="Z1183">
        <v>0</v>
      </c>
      <c r="AA1183">
        <v>0</v>
      </c>
      <c r="AB1183">
        <v>0</v>
      </c>
      <c r="AC1183">
        <v>0</v>
      </c>
      <c r="AD1183">
        <v>0</v>
      </c>
      <c r="AE1183">
        <v>0</v>
      </c>
      <c r="AF1183">
        <v>0</v>
      </c>
      <c r="AG1183">
        <v>0</v>
      </c>
      <c r="AH1183">
        <v>0</v>
      </c>
      <c r="AI1183">
        <v>0</v>
      </c>
      <c r="AJ1183">
        <v>0</v>
      </c>
      <c r="AK1183">
        <v>0</v>
      </c>
      <c r="AL1183">
        <v>0</v>
      </c>
      <c r="AM1183">
        <v>0</v>
      </c>
      <c r="AN1183">
        <v>0</v>
      </c>
      <c r="AO1183">
        <v>0</v>
      </c>
      <c r="AP1183">
        <v>0</v>
      </c>
      <c r="AQ1183">
        <v>51.04</v>
      </c>
      <c r="AR1183">
        <v>0</v>
      </c>
      <c r="AS1183">
        <v>0</v>
      </c>
      <c r="AT1183">
        <v>0</v>
      </c>
      <c r="AU1183">
        <v>0</v>
      </c>
      <c r="AV1183">
        <v>0</v>
      </c>
      <c r="AW1183">
        <v>0</v>
      </c>
      <c r="AX1183">
        <v>0</v>
      </c>
      <c r="AY1183">
        <v>0</v>
      </c>
      <c r="AZ1183">
        <v>0</v>
      </c>
      <c r="BA1183">
        <v>0</v>
      </c>
      <c r="BB1183">
        <v>0</v>
      </c>
      <c r="BC1183">
        <v>0</v>
      </c>
      <c r="BD1183">
        <v>0</v>
      </c>
      <c r="BE1183">
        <v>0</v>
      </c>
      <c r="BF1183">
        <v>0</v>
      </c>
      <c r="BG1183">
        <v>0</v>
      </c>
      <c r="BH1183">
        <v>1</v>
      </c>
      <c r="BI1183">
        <v>1</v>
      </c>
      <c r="BJ1183">
        <v>3.8</v>
      </c>
      <c r="BK1183">
        <v>4</v>
      </c>
      <c r="BL1183">
        <v>152.1</v>
      </c>
      <c r="BM1183">
        <v>22.82</v>
      </c>
      <c r="BN1183">
        <v>174.92</v>
      </c>
      <c r="BO1183">
        <v>174.92</v>
      </c>
      <c r="BQ1183" t="s">
        <v>588</v>
      </c>
      <c r="BR1183" t="s">
        <v>82</v>
      </c>
      <c r="BS1183" s="3">
        <v>46001</v>
      </c>
      <c r="BT1183" s="4">
        <v>0.40347222222222223</v>
      </c>
      <c r="BU1183" t="s">
        <v>1898</v>
      </c>
      <c r="BV1183" t="s">
        <v>84</v>
      </c>
      <c r="BY1183">
        <v>18832.5</v>
      </c>
      <c r="CA1183" t="s">
        <v>571</v>
      </c>
      <c r="CC1183" t="s">
        <v>142</v>
      </c>
      <c r="CD1183">
        <v>6001</v>
      </c>
      <c r="CE1183" t="s">
        <v>86</v>
      </c>
      <c r="CI1183">
        <v>1</v>
      </c>
      <c r="CJ1183">
        <v>1</v>
      </c>
      <c r="CK1183">
        <v>21</v>
      </c>
      <c r="CL1183" t="s">
        <v>87</v>
      </c>
    </row>
    <row r="1184" spans="1:90" x14ac:dyDescent="0.3">
      <c r="A1184" t="s">
        <v>72</v>
      </c>
      <c r="B1184" t="s">
        <v>73</v>
      </c>
      <c r="C1184" t="s">
        <v>74</v>
      </c>
      <c r="E1184" t="str">
        <f>"080069787093"</f>
        <v>080069787093</v>
      </c>
      <c r="F1184" s="3">
        <v>46000</v>
      </c>
      <c r="G1184">
        <v>202609</v>
      </c>
      <c r="H1184" t="s">
        <v>75</v>
      </c>
      <c r="I1184" t="s">
        <v>76</v>
      </c>
      <c r="J1184" t="s">
        <v>77</v>
      </c>
      <c r="K1184" t="s">
        <v>78</v>
      </c>
      <c r="L1184" t="s">
        <v>156</v>
      </c>
      <c r="M1184" t="s">
        <v>157</v>
      </c>
      <c r="N1184" t="s">
        <v>261</v>
      </c>
      <c r="O1184" t="s">
        <v>89</v>
      </c>
      <c r="P1184" t="str">
        <f>"4170072592                    "</f>
        <v xml:space="preserve">4170072592                    </v>
      </c>
      <c r="Q1184">
        <v>0</v>
      </c>
      <c r="R1184">
        <v>0</v>
      </c>
      <c r="S1184">
        <v>0</v>
      </c>
      <c r="T1184">
        <v>0</v>
      </c>
      <c r="U1184">
        <v>0</v>
      </c>
      <c r="V1184">
        <v>0</v>
      </c>
      <c r="W1184">
        <v>0</v>
      </c>
      <c r="X1184">
        <v>0</v>
      </c>
      <c r="Y1184">
        <v>0</v>
      </c>
      <c r="Z1184">
        <v>0</v>
      </c>
      <c r="AA1184">
        <v>0</v>
      </c>
      <c r="AB1184">
        <v>0</v>
      </c>
      <c r="AC1184">
        <v>0</v>
      </c>
      <c r="AD1184">
        <v>0</v>
      </c>
      <c r="AE1184">
        <v>0</v>
      </c>
      <c r="AF1184">
        <v>0</v>
      </c>
      <c r="AG1184">
        <v>0</v>
      </c>
      <c r="AH1184">
        <v>0</v>
      </c>
      <c r="AI1184">
        <v>0</v>
      </c>
      <c r="AJ1184">
        <v>0</v>
      </c>
      <c r="AK1184">
        <v>0</v>
      </c>
      <c r="AL1184">
        <v>0</v>
      </c>
      <c r="AM1184">
        <v>0</v>
      </c>
      <c r="AN1184">
        <v>0</v>
      </c>
      <c r="AO1184">
        <v>0</v>
      </c>
      <c r="AP1184">
        <v>0</v>
      </c>
      <c r="AQ1184">
        <v>25.52</v>
      </c>
      <c r="AR1184">
        <v>0</v>
      </c>
      <c r="AS1184">
        <v>0</v>
      </c>
      <c r="AT1184">
        <v>0</v>
      </c>
      <c r="AU1184">
        <v>0</v>
      </c>
      <c r="AV1184">
        <v>0</v>
      </c>
      <c r="AW1184">
        <v>0</v>
      </c>
      <c r="AX1184">
        <v>0</v>
      </c>
      <c r="AY1184">
        <v>0</v>
      </c>
      <c r="AZ1184">
        <v>0</v>
      </c>
      <c r="BA1184">
        <v>0</v>
      </c>
      <c r="BB1184">
        <v>0</v>
      </c>
      <c r="BC1184">
        <v>0</v>
      </c>
      <c r="BD1184">
        <v>0</v>
      </c>
      <c r="BE1184">
        <v>0</v>
      </c>
      <c r="BF1184">
        <v>0</v>
      </c>
      <c r="BG1184">
        <v>0</v>
      </c>
      <c r="BH1184">
        <v>1</v>
      </c>
      <c r="BI1184">
        <v>0.2</v>
      </c>
      <c r="BJ1184">
        <v>0.6</v>
      </c>
      <c r="BK1184">
        <v>1</v>
      </c>
      <c r="BL1184">
        <v>76.06</v>
      </c>
      <c r="BM1184">
        <v>11.41</v>
      </c>
      <c r="BN1184">
        <v>87.47</v>
      </c>
      <c r="BO1184">
        <v>87.47</v>
      </c>
      <c r="BQ1184" t="s">
        <v>262</v>
      </c>
      <c r="BR1184" t="s">
        <v>82</v>
      </c>
      <c r="BS1184" s="3">
        <v>46001</v>
      </c>
      <c r="BT1184" s="4">
        <v>0.39583333333333331</v>
      </c>
      <c r="BU1184" t="s">
        <v>1346</v>
      </c>
      <c r="BV1184" t="s">
        <v>84</v>
      </c>
      <c r="BY1184">
        <v>2850.12</v>
      </c>
      <c r="CA1184" t="s">
        <v>264</v>
      </c>
      <c r="CC1184" t="s">
        <v>157</v>
      </c>
      <c r="CD1184">
        <v>7441</v>
      </c>
      <c r="CE1184" t="s">
        <v>86</v>
      </c>
      <c r="CF1184" s="3">
        <v>46002</v>
      </c>
      <c r="CI1184">
        <v>1</v>
      </c>
      <c r="CJ1184">
        <v>1</v>
      </c>
      <c r="CK1184">
        <v>21</v>
      </c>
      <c r="CL1184" t="s">
        <v>87</v>
      </c>
    </row>
    <row r="1185" spans="1:90" x14ac:dyDescent="0.3">
      <c r="A1185" t="s">
        <v>72</v>
      </c>
      <c r="B1185" t="s">
        <v>73</v>
      </c>
      <c r="C1185" t="s">
        <v>74</v>
      </c>
      <c r="E1185" t="str">
        <f>"080069787133"</f>
        <v>080069787133</v>
      </c>
      <c r="F1185" s="3">
        <v>46000</v>
      </c>
      <c r="G1185">
        <v>202609</v>
      </c>
      <c r="H1185" t="s">
        <v>75</v>
      </c>
      <c r="I1185" t="s">
        <v>76</v>
      </c>
      <c r="J1185" t="s">
        <v>77</v>
      </c>
      <c r="K1185" t="s">
        <v>78</v>
      </c>
      <c r="L1185" t="s">
        <v>141</v>
      </c>
      <c r="M1185" t="s">
        <v>142</v>
      </c>
      <c r="N1185" t="s">
        <v>1917</v>
      </c>
      <c r="O1185" t="s">
        <v>89</v>
      </c>
      <c r="P1185" t="str">
        <f>"4170072576                    "</f>
        <v xml:space="preserve">4170072576                    </v>
      </c>
      <c r="Q1185">
        <v>0</v>
      </c>
      <c r="R1185">
        <v>0</v>
      </c>
      <c r="S1185">
        <v>0</v>
      </c>
      <c r="T1185">
        <v>0</v>
      </c>
      <c r="U1185">
        <v>0</v>
      </c>
      <c r="V1185">
        <v>0</v>
      </c>
      <c r="W1185">
        <v>0</v>
      </c>
      <c r="X1185">
        <v>0</v>
      </c>
      <c r="Y1185">
        <v>0</v>
      </c>
      <c r="Z1185">
        <v>0</v>
      </c>
      <c r="AA1185">
        <v>0</v>
      </c>
      <c r="AB1185">
        <v>0</v>
      </c>
      <c r="AC1185">
        <v>0</v>
      </c>
      <c r="AD1185">
        <v>0</v>
      </c>
      <c r="AE1185">
        <v>0</v>
      </c>
      <c r="AF1185">
        <v>0</v>
      </c>
      <c r="AG1185">
        <v>0</v>
      </c>
      <c r="AH1185">
        <v>0</v>
      </c>
      <c r="AI1185">
        <v>0</v>
      </c>
      <c r="AJ1185">
        <v>0</v>
      </c>
      <c r="AK1185">
        <v>0</v>
      </c>
      <c r="AL1185">
        <v>0</v>
      </c>
      <c r="AM1185">
        <v>0</v>
      </c>
      <c r="AN1185">
        <v>0</v>
      </c>
      <c r="AO1185">
        <v>0</v>
      </c>
      <c r="AP1185">
        <v>0</v>
      </c>
      <c r="AQ1185">
        <v>25.52</v>
      </c>
      <c r="AR1185">
        <v>0</v>
      </c>
      <c r="AS1185">
        <v>0</v>
      </c>
      <c r="AT1185">
        <v>0</v>
      </c>
      <c r="AU1185">
        <v>0</v>
      </c>
      <c r="AV1185">
        <v>0</v>
      </c>
      <c r="AW1185">
        <v>0</v>
      </c>
      <c r="AX1185">
        <v>0</v>
      </c>
      <c r="AY1185">
        <v>0</v>
      </c>
      <c r="AZ1185">
        <v>0</v>
      </c>
      <c r="BA1185">
        <v>0</v>
      </c>
      <c r="BB1185">
        <v>0</v>
      </c>
      <c r="BC1185">
        <v>0</v>
      </c>
      <c r="BD1185">
        <v>0</v>
      </c>
      <c r="BE1185">
        <v>0</v>
      </c>
      <c r="BF1185">
        <v>0</v>
      </c>
      <c r="BG1185">
        <v>0</v>
      </c>
      <c r="BH1185">
        <v>1</v>
      </c>
      <c r="BI1185">
        <v>1</v>
      </c>
      <c r="BJ1185">
        <v>0.2</v>
      </c>
      <c r="BK1185">
        <v>1</v>
      </c>
      <c r="BL1185">
        <v>76.06</v>
      </c>
      <c r="BM1185">
        <v>11.41</v>
      </c>
      <c r="BN1185">
        <v>87.47</v>
      </c>
      <c r="BO1185">
        <v>87.47</v>
      </c>
      <c r="BQ1185" t="s">
        <v>1918</v>
      </c>
      <c r="BR1185" t="s">
        <v>82</v>
      </c>
      <c r="BS1185" s="3">
        <v>46001</v>
      </c>
      <c r="BT1185" s="4">
        <v>0.41597222222222224</v>
      </c>
      <c r="BU1185" t="s">
        <v>1919</v>
      </c>
      <c r="BV1185" t="s">
        <v>84</v>
      </c>
      <c r="BY1185">
        <v>1200</v>
      </c>
      <c r="CA1185" t="s">
        <v>745</v>
      </c>
      <c r="CC1185" t="s">
        <v>142</v>
      </c>
      <c r="CD1185">
        <v>6001</v>
      </c>
      <c r="CE1185" t="s">
        <v>134</v>
      </c>
      <c r="CF1185" s="3">
        <v>46001</v>
      </c>
      <c r="CI1185">
        <v>1</v>
      </c>
      <c r="CJ1185">
        <v>1</v>
      </c>
      <c r="CK1185">
        <v>21</v>
      </c>
      <c r="CL1185" t="s">
        <v>87</v>
      </c>
    </row>
    <row r="1186" spans="1:90" x14ac:dyDescent="0.3">
      <c r="A1186" t="s">
        <v>72</v>
      </c>
      <c r="B1186" t="s">
        <v>73</v>
      </c>
      <c r="C1186" t="s">
        <v>74</v>
      </c>
      <c r="E1186" t="str">
        <f>"080069787179"</f>
        <v>080069787179</v>
      </c>
      <c r="F1186" s="3">
        <v>46000</v>
      </c>
      <c r="G1186">
        <v>202609</v>
      </c>
      <c r="H1186" t="s">
        <v>75</v>
      </c>
      <c r="I1186" t="s">
        <v>76</v>
      </c>
      <c r="J1186" t="s">
        <v>77</v>
      </c>
      <c r="K1186" t="s">
        <v>78</v>
      </c>
      <c r="L1186" t="s">
        <v>176</v>
      </c>
      <c r="M1186" t="s">
        <v>177</v>
      </c>
      <c r="N1186" t="s">
        <v>178</v>
      </c>
      <c r="O1186" t="s">
        <v>340</v>
      </c>
      <c r="P1186" t="str">
        <f>"4170072560                    "</f>
        <v xml:space="preserve">4170072560                    </v>
      </c>
      <c r="Q1186">
        <v>0</v>
      </c>
      <c r="R1186">
        <v>0</v>
      </c>
      <c r="S1186">
        <v>0</v>
      </c>
      <c r="T1186">
        <v>0</v>
      </c>
      <c r="U1186">
        <v>0</v>
      </c>
      <c r="V1186">
        <v>0</v>
      </c>
      <c r="W1186">
        <v>0</v>
      </c>
      <c r="X1186">
        <v>0</v>
      </c>
      <c r="Y1186">
        <v>0</v>
      </c>
      <c r="Z1186">
        <v>0</v>
      </c>
      <c r="AA1186">
        <v>0</v>
      </c>
      <c r="AB1186">
        <v>0</v>
      </c>
      <c r="AC1186">
        <v>0</v>
      </c>
      <c r="AD1186">
        <v>0</v>
      </c>
      <c r="AE1186">
        <v>0</v>
      </c>
      <c r="AF1186">
        <v>0</v>
      </c>
      <c r="AG1186">
        <v>0</v>
      </c>
      <c r="AH1186">
        <v>0</v>
      </c>
      <c r="AI1186">
        <v>0</v>
      </c>
      <c r="AJ1186">
        <v>0</v>
      </c>
      <c r="AK1186">
        <v>0</v>
      </c>
      <c r="AL1186">
        <v>0</v>
      </c>
      <c r="AM1186">
        <v>0</v>
      </c>
      <c r="AN1186">
        <v>0</v>
      </c>
      <c r="AO1186">
        <v>0</v>
      </c>
      <c r="AP1186">
        <v>0</v>
      </c>
      <c r="AQ1186">
        <v>19.940000000000001</v>
      </c>
      <c r="AR1186">
        <v>0</v>
      </c>
      <c r="AS1186">
        <v>0</v>
      </c>
      <c r="AT1186">
        <v>0</v>
      </c>
      <c r="AU1186">
        <v>0</v>
      </c>
      <c r="AV1186">
        <v>0</v>
      </c>
      <c r="AW1186">
        <v>0</v>
      </c>
      <c r="AX1186">
        <v>0</v>
      </c>
      <c r="AY1186">
        <v>0</v>
      </c>
      <c r="AZ1186">
        <v>0</v>
      </c>
      <c r="BA1186">
        <v>0</v>
      </c>
      <c r="BB1186">
        <v>0</v>
      </c>
      <c r="BC1186">
        <v>0</v>
      </c>
      <c r="BD1186">
        <v>0</v>
      </c>
      <c r="BE1186">
        <v>0</v>
      </c>
      <c r="BF1186">
        <v>0</v>
      </c>
      <c r="BG1186">
        <v>0</v>
      </c>
      <c r="BH1186">
        <v>1</v>
      </c>
      <c r="BI1186">
        <v>0.2</v>
      </c>
      <c r="BJ1186">
        <v>3.4</v>
      </c>
      <c r="BK1186">
        <v>4</v>
      </c>
      <c r="BL1186">
        <v>59.43</v>
      </c>
      <c r="BM1186">
        <v>8.91</v>
      </c>
      <c r="BN1186">
        <v>68.34</v>
      </c>
      <c r="BO1186">
        <v>68.34</v>
      </c>
      <c r="BQ1186" t="s">
        <v>179</v>
      </c>
      <c r="BR1186" t="s">
        <v>82</v>
      </c>
      <c r="BS1186" s="3">
        <v>46001</v>
      </c>
      <c r="BT1186" s="4">
        <v>0.37916666666666665</v>
      </c>
      <c r="BU1186" t="s">
        <v>1433</v>
      </c>
      <c r="BV1186" t="s">
        <v>84</v>
      </c>
      <c r="BY1186">
        <v>16806.400000000001</v>
      </c>
      <c r="CA1186" t="s">
        <v>182</v>
      </c>
      <c r="CC1186" t="s">
        <v>177</v>
      </c>
      <c r="CD1186">
        <v>2094</v>
      </c>
      <c r="CE1186" t="s">
        <v>86</v>
      </c>
      <c r="CF1186" s="3">
        <v>46002</v>
      </c>
      <c r="CI1186">
        <v>1</v>
      </c>
      <c r="CJ1186">
        <v>1</v>
      </c>
      <c r="CK1186">
        <v>32</v>
      </c>
      <c r="CL1186" t="s">
        <v>87</v>
      </c>
    </row>
    <row r="1187" spans="1:90" x14ac:dyDescent="0.3">
      <c r="A1187" t="s">
        <v>72</v>
      </c>
      <c r="B1187" t="s">
        <v>73</v>
      </c>
      <c r="C1187" t="s">
        <v>74</v>
      </c>
      <c r="E1187" t="str">
        <f>"080069787181"</f>
        <v>080069787181</v>
      </c>
      <c r="F1187" s="3">
        <v>46000</v>
      </c>
      <c r="G1187">
        <v>202609</v>
      </c>
      <c r="H1187" t="s">
        <v>75</v>
      </c>
      <c r="I1187" t="s">
        <v>76</v>
      </c>
      <c r="J1187" t="s">
        <v>77</v>
      </c>
      <c r="K1187" t="s">
        <v>78</v>
      </c>
      <c r="L1187" t="s">
        <v>482</v>
      </c>
      <c r="M1187" t="s">
        <v>483</v>
      </c>
      <c r="N1187" t="s">
        <v>1087</v>
      </c>
      <c r="O1187" t="s">
        <v>89</v>
      </c>
      <c r="P1187" t="str">
        <f>"4170072588                    "</f>
        <v xml:space="preserve">4170072588                    </v>
      </c>
      <c r="Q1187">
        <v>0</v>
      </c>
      <c r="R1187">
        <v>0</v>
      </c>
      <c r="S1187">
        <v>0</v>
      </c>
      <c r="T1187">
        <v>0</v>
      </c>
      <c r="U1187">
        <v>0</v>
      </c>
      <c r="V1187">
        <v>0</v>
      </c>
      <c r="W1187">
        <v>0</v>
      </c>
      <c r="X1187">
        <v>0</v>
      </c>
      <c r="Y1187">
        <v>0</v>
      </c>
      <c r="Z1187">
        <v>0</v>
      </c>
      <c r="AA1187">
        <v>0</v>
      </c>
      <c r="AB1187">
        <v>0</v>
      </c>
      <c r="AC1187">
        <v>0</v>
      </c>
      <c r="AD1187">
        <v>0</v>
      </c>
      <c r="AE1187">
        <v>0</v>
      </c>
      <c r="AF1187">
        <v>0</v>
      </c>
      <c r="AG1187">
        <v>0</v>
      </c>
      <c r="AH1187">
        <v>0</v>
      </c>
      <c r="AI1187">
        <v>0</v>
      </c>
      <c r="AJ1187">
        <v>0</v>
      </c>
      <c r="AK1187">
        <v>0</v>
      </c>
      <c r="AL1187">
        <v>0</v>
      </c>
      <c r="AM1187">
        <v>0</v>
      </c>
      <c r="AN1187">
        <v>0</v>
      </c>
      <c r="AO1187">
        <v>0</v>
      </c>
      <c r="AP1187">
        <v>0</v>
      </c>
      <c r="AQ1187">
        <v>49.45</v>
      </c>
      <c r="AR1187">
        <v>0</v>
      </c>
      <c r="AS1187">
        <v>0</v>
      </c>
      <c r="AT1187">
        <v>0</v>
      </c>
      <c r="AU1187">
        <v>0</v>
      </c>
      <c r="AV1187">
        <v>0</v>
      </c>
      <c r="AW1187">
        <v>0</v>
      </c>
      <c r="AX1187">
        <v>0</v>
      </c>
      <c r="AY1187">
        <v>0</v>
      </c>
      <c r="AZ1187">
        <v>0</v>
      </c>
      <c r="BA1187">
        <v>0</v>
      </c>
      <c r="BB1187">
        <v>0</v>
      </c>
      <c r="BC1187">
        <v>0</v>
      </c>
      <c r="BD1187">
        <v>0</v>
      </c>
      <c r="BE1187">
        <v>0</v>
      </c>
      <c r="BF1187">
        <v>0</v>
      </c>
      <c r="BG1187">
        <v>0</v>
      </c>
      <c r="BH1187">
        <v>1</v>
      </c>
      <c r="BI1187">
        <v>1</v>
      </c>
      <c r="BJ1187">
        <v>0.2</v>
      </c>
      <c r="BK1187">
        <v>1</v>
      </c>
      <c r="BL1187">
        <v>147.38</v>
      </c>
      <c r="BM1187">
        <v>22.11</v>
      </c>
      <c r="BN1187">
        <v>169.49</v>
      </c>
      <c r="BO1187">
        <v>169.49</v>
      </c>
      <c r="BQ1187" t="s">
        <v>1088</v>
      </c>
      <c r="BR1187" t="s">
        <v>82</v>
      </c>
      <c r="BS1187" s="3">
        <v>46001</v>
      </c>
      <c r="BT1187" s="4">
        <v>0.4375</v>
      </c>
      <c r="BU1187" t="s">
        <v>1920</v>
      </c>
      <c r="BV1187" t="s">
        <v>84</v>
      </c>
      <c r="BY1187">
        <v>1200</v>
      </c>
      <c r="CA1187">
        <v>7711215278081</v>
      </c>
      <c r="CC1187" t="s">
        <v>483</v>
      </c>
      <c r="CD1187">
        <v>1871</v>
      </c>
      <c r="CE1187" t="s">
        <v>134</v>
      </c>
      <c r="CF1187" s="3">
        <v>46002</v>
      </c>
      <c r="CI1187">
        <v>1</v>
      </c>
      <c r="CJ1187">
        <v>1</v>
      </c>
      <c r="CK1187">
        <v>23</v>
      </c>
      <c r="CL1187" t="s">
        <v>87</v>
      </c>
    </row>
    <row r="1188" spans="1:90" x14ac:dyDescent="0.3">
      <c r="A1188" t="s">
        <v>72</v>
      </c>
      <c r="B1188" t="s">
        <v>73</v>
      </c>
      <c r="C1188" t="s">
        <v>74</v>
      </c>
      <c r="E1188" t="str">
        <f>"080069787222"</f>
        <v>080069787222</v>
      </c>
      <c r="F1188" s="3">
        <v>46000</v>
      </c>
      <c r="G1188">
        <v>202609</v>
      </c>
      <c r="H1188" t="s">
        <v>75</v>
      </c>
      <c r="I1188" t="s">
        <v>76</v>
      </c>
      <c r="J1188" t="s">
        <v>77</v>
      </c>
      <c r="K1188" t="s">
        <v>78</v>
      </c>
      <c r="L1188" t="s">
        <v>156</v>
      </c>
      <c r="M1188" t="s">
        <v>157</v>
      </c>
      <c r="N1188" t="s">
        <v>261</v>
      </c>
      <c r="O1188" t="s">
        <v>89</v>
      </c>
      <c r="P1188" t="str">
        <f>"4170072594                    "</f>
        <v xml:space="preserve">4170072594                    </v>
      </c>
      <c r="Q1188">
        <v>0</v>
      </c>
      <c r="R1188">
        <v>0</v>
      </c>
      <c r="S1188">
        <v>0</v>
      </c>
      <c r="T1188">
        <v>0</v>
      </c>
      <c r="U1188">
        <v>0</v>
      </c>
      <c r="V1188">
        <v>0</v>
      </c>
      <c r="W1188">
        <v>0</v>
      </c>
      <c r="X1188">
        <v>0</v>
      </c>
      <c r="Y1188">
        <v>0</v>
      </c>
      <c r="Z1188">
        <v>0</v>
      </c>
      <c r="AA1188">
        <v>0</v>
      </c>
      <c r="AB1188">
        <v>0</v>
      </c>
      <c r="AC1188">
        <v>0</v>
      </c>
      <c r="AD1188">
        <v>0</v>
      </c>
      <c r="AE1188">
        <v>0</v>
      </c>
      <c r="AF1188">
        <v>0</v>
      </c>
      <c r="AG1188">
        <v>0</v>
      </c>
      <c r="AH1188">
        <v>0</v>
      </c>
      <c r="AI1188">
        <v>0</v>
      </c>
      <c r="AJ1188">
        <v>0</v>
      </c>
      <c r="AK1188">
        <v>0</v>
      </c>
      <c r="AL1188">
        <v>0</v>
      </c>
      <c r="AM1188">
        <v>0</v>
      </c>
      <c r="AN1188">
        <v>0</v>
      </c>
      <c r="AO1188">
        <v>0</v>
      </c>
      <c r="AP1188">
        <v>0</v>
      </c>
      <c r="AQ1188">
        <v>25.52</v>
      </c>
      <c r="AR1188">
        <v>0</v>
      </c>
      <c r="AS1188">
        <v>0</v>
      </c>
      <c r="AT1188">
        <v>0</v>
      </c>
      <c r="AU1188">
        <v>0</v>
      </c>
      <c r="AV1188">
        <v>0</v>
      </c>
      <c r="AW1188">
        <v>0</v>
      </c>
      <c r="AX1188">
        <v>0</v>
      </c>
      <c r="AY1188">
        <v>0</v>
      </c>
      <c r="AZ1188">
        <v>0</v>
      </c>
      <c r="BA1188">
        <v>0</v>
      </c>
      <c r="BB1188">
        <v>0</v>
      </c>
      <c r="BC1188">
        <v>0</v>
      </c>
      <c r="BD1188">
        <v>0</v>
      </c>
      <c r="BE1188">
        <v>0</v>
      </c>
      <c r="BF1188">
        <v>0</v>
      </c>
      <c r="BG1188">
        <v>0</v>
      </c>
      <c r="BH1188">
        <v>1</v>
      </c>
      <c r="BI1188">
        <v>1</v>
      </c>
      <c r="BJ1188">
        <v>0.2</v>
      </c>
      <c r="BK1188">
        <v>1</v>
      </c>
      <c r="BL1188">
        <v>76.06</v>
      </c>
      <c r="BM1188">
        <v>11.41</v>
      </c>
      <c r="BN1188">
        <v>87.47</v>
      </c>
      <c r="BO1188">
        <v>87.47</v>
      </c>
      <c r="BQ1188" t="s">
        <v>262</v>
      </c>
      <c r="BR1188" t="s">
        <v>82</v>
      </c>
      <c r="BS1188" s="3">
        <v>46001</v>
      </c>
      <c r="BT1188" s="4">
        <v>0.39583333333333331</v>
      </c>
      <c r="BU1188" t="s">
        <v>1346</v>
      </c>
      <c r="BV1188" t="s">
        <v>84</v>
      </c>
      <c r="BY1188">
        <v>1200</v>
      </c>
      <c r="CA1188" t="s">
        <v>264</v>
      </c>
      <c r="CC1188" t="s">
        <v>157</v>
      </c>
      <c r="CD1188">
        <v>7441</v>
      </c>
      <c r="CE1188" t="s">
        <v>134</v>
      </c>
      <c r="CF1188" s="3">
        <v>46002</v>
      </c>
      <c r="CI1188">
        <v>1</v>
      </c>
      <c r="CJ1188">
        <v>1</v>
      </c>
      <c r="CK1188">
        <v>21</v>
      </c>
      <c r="CL1188" t="s">
        <v>87</v>
      </c>
    </row>
    <row r="1189" spans="1:90" x14ac:dyDescent="0.3">
      <c r="A1189" t="s">
        <v>72</v>
      </c>
      <c r="B1189" t="s">
        <v>73</v>
      </c>
      <c r="C1189" t="s">
        <v>74</v>
      </c>
      <c r="E1189" t="str">
        <f>"080069787626"</f>
        <v>080069787626</v>
      </c>
      <c r="F1189" s="3">
        <v>46000</v>
      </c>
      <c r="G1189">
        <v>202609</v>
      </c>
      <c r="H1189" t="s">
        <v>75</v>
      </c>
      <c r="I1189" t="s">
        <v>76</v>
      </c>
      <c r="J1189" t="s">
        <v>77</v>
      </c>
      <c r="K1189" t="s">
        <v>78</v>
      </c>
      <c r="L1189" t="s">
        <v>141</v>
      </c>
      <c r="M1189" t="s">
        <v>142</v>
      </c>
      <c r="N1189" t="s">
        <v>587</v>
      </c>
      <c r="O1189" t="s">
        <v>89</v>
      </c>
      <c r="P1189" t="str">
        <f>"4170072603                    "</f>
        <v xml:space="preserve">4170072603                    </v>
      </c>
      <c r="Q1189">
        <v>0</v>
      </c>
      <c r="R1189">
        <v>0</v>
      </c>
      <c r="S1189">
        <v>0</v>
      </c>
      <c r="T1189">
        <v>0</v>
      </c>
      <c r="U1189">
        <v>0</v>
      </c>
      <c r="V1189">
        <v>0</v>
      </c>
      <c r="W1189">
        <v>0</v>
      </c>
      <c r="X1189">
        <v>0</v>
      </c>
      <c r="Y1189">
        <v>0</v>
      </c>
      <c r="Z1189">
        <v>0</v>
      </c>
      <c r="AA1189">
        <v>0</v>
      </c>
      <c r="AB1189">
        <v>0</v>
      </c>
      <c r="AC1189">
        <v>0</v>
      </c>
      <c r="AD1189">
        <v>0</v>
      </c>
      <c r="AE1189">
        <v>0</v>
      </c>
      <c r="AF1189">
        <v>0</v>
      </c>
      <c r="AG1189">
        <v>0</v>
      </c>
      <c r="AH1189">
        <v>0</v>
      </c>
      <c r="AI1189">
        <v>0</v>
      </c>
      <c r="AJ1189">
        <v>0</v>
      </c>
      <c r="AK1189">
        <v>0</v>
      </c>
      <c r="AL1189">
        <v>0</v>
      </c>
      <c r="AM1189">
        <v>0</v>
      </c>
      <c r="AN1189">
        <v>0</v>
      </c>
      <c r="AO1189">
        <v>0</v>
      </c>
      <c r="AP1189">
        <v>0</v>
      </c>
      <c r="AQ1189">
        <v>25.52</v>
      </c>
      <c r="AR1189">
        <v>0</v>
      </c>
      <c r="AS1189">
        <v>0</v>
      </c>
      <c r="AT1189">
        <v>0</v>
      </c>
      <c r="AU1189">
        <v>0</v>
      </c>
      <c r="AV1189">
        <v>0</v>
      </c>
      <c r="AW1189">
        <v>0</v>
      </c>
      <c r="AX1189">
        <v>0</v>
      </c>
      <c r="AY1189">
        <v>0</v>
      </c>
      <c r="AZ1189">
        <v>0</v>
      </c>
      <c r="BA1189">
        <v>0</v>
      </c>
      <c r="BB1189">
        <v>0</v>
      </c>
      <c r="BC1189">
        <v>0</v>
      </c>
      <c r="BD1189">
        <v>0</v>
      </c>
      <c r="BE1189">
        <v>0</v>
      </c>
      <c r="BF1189">
        <v>0</v>
      </c>
      <c r="BG1189">
        <v>0</v>
      </c>
      <c r="BH1189">
        <v>1</v>
      </c>
      <c r="BI1189">
        <v>0.2</v>
      </c>
      <c r="BJ1189">
        <v>0.6</v>
      </c>
      <c r="BK1189">
        <v>1</v>
      </c>
      <c r="BL1189">
        <v>76.06</v>
      </c>
      <c r="BM1189">
        <v>11.41</v>
      </c>
      <c r="BN1189">
        <v>87.47</v>
      </c>
      <c r="BO1189">
        <v>87.47</v>
      </c>
      <c r="BQ1189" t="s">
        <v>588</v>
      </c>
      <c r="BR1189" t="s">
        <v>82</v>
      </c>
      <c r="BS1189" s="3">
        <v>46001</v>
      </c>
      <c r="BT1189" s="4">
        <v>0.40347222222222223</v>
      </c>
      <c r="BU1189" t="s">
        <v>1898</v>
      </c>
      <c r="BV1189" t="s">
        <v>84</v>
      </c>
      <c r="BY1189">
        <v>2878.02</v>
      </c>
      <c r="CA1189" t="s">
        <v>571</v>
      </c>
      <c r="CC1189" t="s">
        <v>142</v>
      </c>
      <c r="CD1189">
        <v>6001</v>
      </c>
      <c r="CE1189" t="s">
        <v>86</v>
      </c>
      <c r="CI1189">
        <v>1</v>
      </c>
      <c r="CJ1189">
        <v>1</v>
      </c>
      <c r="CK1189">
        <v>21</v>
      </c>
      <c r="CL1189" t="s">
        <v>87</v>
      </c>
    </row>
    <row r="1190" spans="1:90" x14ac:dyDescent="0.3">
      <c r="A1190" t="s">
        <v>72</v>
      </c>
      <c r="B1190" t="s">
        <v>73</v>
      </c>
      <c r="C1190" t="s">
        <v>74</v>
      </c>
      <c r="E1190" t="str">
        <f>"080069787652"</f>
        <v>080069787652</v>
      </c>
      <c r="F1190" s="3">
        <v>46000</v>
      </c>
      <c r="G1190">
        <v>202609</v>
      </c>
      <c r="H1190" t="s">
        <v>75</v>
      </c>
      <c r="I1190" t="s">
        <v>76</v>
      </c>
      <c r="J1190" t="s">
        <v>77</v>
      </c>
      <c r="K1190" t="s">
        <v>78</v>
      </c>
      <c r="L1190" t="s">
        <v>141</v>
      </c>
      <c r="M1190" t="s">
        <v>142</v>
      </c>
      <c r="N1190" t="s">
        <v>143</v>
      </c>
      <c r="O1190" t="s">
        <v>89</v>
      </c>
      <c r="P1190" t="str">
        <f>"4170072634                    "</f>
        <v xml:space="preserve">4170072634                    </v>
      </c>
      <c r="Q1190">
        <v>0</v>
      </c>
      <c r="R1190">
        <v>0</v>
      </c>
      <c r="S1190">
        <v>0</v>
      </c>
      <c r="T1190">
        <v>0</v>
      </c>
      <c r="U1190">
        <v>0</v>
      </c>
      <c r="V1190">
        <v>0</v>
      </c>
      <c r="W1190">
        <v>0</v>
      </c>
      <c r="X1190">
        <v>0</v>
      </c>
      <c r="Y1190">
        <v>0</v>
      </c>
      <c r="Z1190">
        <v>0</v>
      </c>
      <c r="AA1190">
        <v>0</v>
      </c>
      <c r="AB1190">
        <v>0</v>
      </c>
      <c r="AC1190">
        <v>0</v>
      </c>
      <c r="AD1190">
        <v>0</v>
      </c>
      <c r="AE1190">
        <v>0</v>
      </c>
      <c r="AF1190">
        <v>0</v>
      </c>
      <c r="AG1190">
        <v>0</v>
      </c>
      <c r="AH1190">
        <v>0</v>
      </c>
      <c r="AI1190">
        <v>0</v>
      </c>
      <c r="AJ1190">
        <v>0</v>
      </c>
      <c r="AK1190">
        <v>0</v>
      </c>
      <c r="AL1190">
        <v>0</v>
      </c>
      <c r="AM1190">
        <v>0</v>
      </c>
      <c r="AN1190">
        <v>0</v>
      </c>
      <c r="AO1190">
        <v>0</v>
      </c>
      <c r="AP1190">
        <v>0</v>
      </c>
      <c r="AQ1190">
        <v>25.52</v>
      </c>
      <c r="AR1190">
        <v>0</v>
      </c>
      <c r="AS1190">
        <v>0</v>
      </c>
      <c r="AT1190">
        <v>0</v>
      </c>
      <c r="AU1190">
        <v>0</v>
      </c>
      <c r="AV1190">
        <v>0</v>
      </c>
      <c r="AW1190">
        <v>0</v>
      </c>
      <c r="AX1190">
        <v>0</v>
      </c>
      <c r="AY1190">
        <v>0</v>
      </c>
      <c r="AZ1190">
        <v>0</v>
      </c>
      <c r="BA1190">
        <v>0</v>
      </c>
      <c r="BB1190">
        <v>0</v>
      </c>
      <c r="BC1190">
        <v>0</v>
      </c>
      <c r="BD1190">
        <v>0</v>
      </c>
      <c r="BE1190">
        <v>0</v>
      </c>
      <c r="BF1190">
        <v>0</v>
      </c>
      <c r="BG1190">
        <v>0</v>
      </c>
      <c r="BH1190">
        <v>1</v>
      </c>
      <c r="BI1190">
        <v>1</v>
      </c>
      <c r="BJ1190">
        <v>0.2</v>
      </c>
      <c r="BK1190">
        <v>1</v>
      </c>
      <c r="BL1190">
        <v>76.06</v>
      </c>
      <c r="BM1190">
        <v>11.41</v>
      </c>
      <c r="BN1190">
        <v>87.47</v>
      </c>
      <c r="BO1190">
        <v>87.47</v>
      </c>
      <c r="BQ1190" t="s">
        <v>144</v>
      </c>
      <c r="BR1190" t="s">
        <v>82</v>
      </c>
      <c r="BS1190" s="3">
        <v>46001</v>
      </c>
      <c r="BT1190" s="4">
        <v>0.42708333333333331</v>
      </c>
      <c r="BU1190" t="s">
        <v>1921</v>
      </c>
      <c r="BV1190" t="s">
        <v>84</v>
      </c>
      <c r="BY1190">
        <v>1200</v>
      </c>
      <c r="CA1190" t="s">
        <v>1228</v>
      </c>
      <c r="CC1190" t="s">
        <v>142</v>
      </c>
      <c r="CD1190">
        <v>6001</v>
      </c>
      <c r="CE1190" t="s">
        <v>134</v>
      </c>
      <c r="CI1190">
        <v>1</v>
      </c>
      <c r="CJ1190">
        <v>1</v>
      </c>
      <c r="CK1190">
        <v>21</v>
      </c>
      <c r="CL1190" t="s">
        <v>87</v>
      </c>
    </row>
    <row r="1191" spans="1:90" x14ac:dyDescent="0.3">
      <c r="A1191" t="s">
        <v>72</v>
      </c>
      <c r="B1191" t="s">
        <v>73</v>
      </c>
      <c r="C1191" t="s">
        <v>74</v>
      </c>
      <c r="E1191" t="str">
        <f>"080069787683"</f>
        <v>080069787683</v>
      </c>
      <c r="F1191" s="3">
        <v>46000</v>
      </c>
      <c r="G1191">
        <v>202609</v>
      </c>
      <c r="H1191" t="s">
        <v>75</v>
      </c>
      <c r="I1191" t="s">
        <v>76</v>
      </c>
      <c r="J1191" t="s">
        <v>77</v>
      </c>
      <c r="K1191" t="s">
        <v>78</v>
      </c>
      <c r="L1191" t="s">
        <v>208</v>
      </c>
      <c r="M1191" t="s">
        <v>209</v>
      </c>
      <c r="N1191" t="s">
        <v>258</v>
      </c>
      <c r="O1191" t="s">
        <v>89</v>
      </c>
      <c r="P1191" t="str">
        <f>"4170072637                    "</f>
        <v xml:space="preserve">4170072637                    </v>
      </c>
      <c r="Q1191">
        <v>0</v>
      </c>
      <c r="R1191">
        <v>0</v>
      </c>
      <c r="S1191">
        <v>0</v>
      </c>
      <c r="T1191">
        <v>0</v>
      </c>
      <c r="U1191">
        <v>0</v>
      </c>
      <c r="V1191">
        <v>0</v>
      </c>
      <c r="W1191">
        <v>0</v>
      </c>
      <c r="X1191">
        <v>0</v>
      </c>
      <c r="Y1191">
        <v>0</v>
      </c>
      <c r="Z1191">
        <v>0</v>
      </c>
      <c r="AA1191">
        <v>0</v>
      </c>
      <c r="AB1191">
        <v>0</v>
      </c>
      <c r="AC1191">
        <v>0</v>
      </c>
      <c r="AD1191">
        <v>0</v>
      </c>
      <c r="AE1191">
        <v>0</v>
      </c>
      <c r="AF1191">
        <v>0</v>
      </c>
      <c r="AG1191">
        <v>0</v>
      </c>
      <c r="AH1191">
        <v>0</v>
      </c>
      <c r="AI1191">
        <v>0</v>
      </c>
      <c r="AJ1191">
        <v>0</v>
      </c>
      <c r="AK1191">
        <v>0</v>
      </c>
      <c r="AL1191">
        <v>0</v>
      </c>
      <c r="AM1191">
        <v>0</v>
      </c>
      <c r="AN1191">
        <v>0</v>
      </c>
      <c r="AO1191">
        <v>0</v>
      </c>
      <c r="AP1191">
        <v>0</v>
      </c>
      <c r="AQ1191">
        <v>25.52</v>
      </c>
      <c r="AR1191">
        <v>0</v>
      </c>
      <c r="AS1191">
        <v>0</v>
      </c>
      <c r="AT1191">
        <v>0</v>
      </c>
      <c r="AU1191">
        <v>0</v>
      </c>
      <c r="AV1191">
        <v>0</v>
      </c>
      <c r="AW1191">
        <v>0</v>
      </c>
      <c r="AX1191">
        <v>0</v>
      </c>
      <c r="AY1191">
        <v>0</v>
      </c>
      <c r="AZ1191">
        <v>0</v>
      </c>
      <c r="BA1191">
        <v>0</v>
      </c>
      <c r="BB1191">
        <v>0</v>
      </c>
      <c r="BC1191">
        <v>0</v>
      </c>
      <c r="BD1191">
        <v>0</v>
      </c>
      <c r="BE1191">
        <v>0</v>
      </c>
      <c r="BF1191">
        <v>0</v>
      </c>
      <c r="BG1191">
        <v>0</v>
      </c>
      <c r="BH1191">
        <v>1</v>
      </c>
      <c r="BI1191">
        <v>1</v>
      </c>
      <c r="BJ1191">
        <v>0.2</v>
      </c>
      <c r="BK1191">
        <v>1</v>
      </c>
      <c r="BL1191">
        <v>76.06</v>
      </c>
      <c r="BM1191">
        <v>11.41</v>
      </c>
      <c r="BN1191">
        <v>87.47</v>
      </c>
      <c r="BO1191">
        <v>87.47</v>
      </c>
      <c r="BQ1191" t="s">
        <v>259</v>
      </c>
      <c r="BR1191" t="s">
        <v>82</v>
      </c>
      <c r="BS1191" s="3">
        <v>46001</v>
      </c>
      <c r="BT1191" s="4">
        <v>0.35555555555555557</v>
      </c>
      <c r="BU1191" t="s">
        <v>1922</v>
      </c>
      <c r="BV1191" t="s">
        <v>84</v>
      </c>
      <c r="BY1191">
        <v>1200</v>
      </c>
      <c r="CA1191">
        <v>7712195338085</v>
      </c>
      <c r="CC1191" t="s">
        <v>209</v>
      </c>
      <c r="CD1191" s="5" t="s">
        <v>213</v>
      </c>
      <c r="CE1191" t="s">
        <v>134</v>
      </c>
      <c r="CF1191" s="3">
        <v>46001</v>
      </c>
      <c r="CI1191">
        <v>1</v>
      </c>
      <c r="CJ1191">
        <v>1</v>
      </c>
      <c r="CK1191">
        <v>21</v>
      </c>
      <c r="CL1191" t="s">
        <v>87</v>
      </c>
    </row>
    <row r="1192" spans="1:90" x14ac:dyDescent="0.3">
      <c r="A1192" t="s">
        <v>72</v>
      </c>
      <c r="B1192" t="s">
        <v>73</v>
      </c>
      <c r="C1192" t="s">
        <v>74</v>
      </c>
      <c r="E1192" t="str">
        <f>"080069787689"</f>
        <v>080069787689</v>
      </c>
      <c r="F1192" s="3">
        <v>46000</v>
      </c>
      <c r="G1192">
        <v>202609</v>
      </c>
      <c r="H1192" t="s">
        <v>75</v>
      </c>
      <c r="I1192" t="s">
        <v>76</v>
      </c>
      <c r="J1192" t="s">
        <v>77</v>
      </c>
      <c r="K1192" t="s">
        <v>78</v>
      </c>
      <c r="L1192" t="s">
        <v>120</v>
      </c>
      <c r="M1192" t="s">
        <v>121</v>
      </c>
      <c r="N1192" t="s">
        <v>1736</v>
      </c>
      <c r="O1192" t="s">
        <v>80</v>
      </c>
      <c r="P1192" t="str">
        <f>"4170072653                    "</f>
        <v xml:space="preserve">4170072653                    </v>
      </c>
      <c r="Q1192">
        <v>0</v>
      </c>
      <c r="R1192">
        <v>0</v>
      </c>
      <c r="S1192">
        <v>0</v>
      </c>
      <c r="T1192">
        <v>0</v>
      </c>
      <c r="U1192">
        <v>0</v>
      </c>
      <c r="V1192">
        <v>0</v>
      </c>
      <c r="W1192">
        <v>0</v>
      </c>
      <c r="X1192">
        <v>0</v>
      </c>
      <c r="Y1192">
        <v>0</v>
      </c>
      <c r="Z1192">
        <v>0</v>
      </c>
      <c r="AA1192">
        <v>0</v>
      </c>
      <c r="AB1192">
        <v>0</v>
      </c>
      <c r="AC1192">
        <v>0</v>
      </c>
      <c r="AD1192">
        <v>0</v>
      </c>
      <c r="AE1192">
        <v>0</v>
      </c>
      <c r="AF1192">
        <v>0</v>
      </c>
      <c r="AG1192">
        <v>0</v>
      </c>
      <c r="AH1192">
        <v>0</v>
      </c>
      <c r="AI1192">
        <v>0</v>
      </c>
      <c r="AJ1192">
        <v>0</v>
      </c>
      <c r="AK1192">
        <v>0</v>
      </c>
      <c r="AL1192">
        <v>0</v>
      </c>
      <c r="AM1192">
        <v>0</v>
      </c>
      <c r="AN1192">
        <v>0</v>
      </c>
      <c r="AO1192">
        <v>0</v>
      </c>
      <c r="AP1192">
        <v>0</v>
      </c>
      <c r="AQ1192">
        <v>359.47</v>
      </c>
      <c r="AR1192">
        <v>0</v>
      </c>
      <c r="AS1192">
        <v>0</v>
      </c>
      <c r="AT1192">
        <v>0</v>
      </c>
      <c r="AU1192">
        <v>0</v>
      </c>
      <c r="AV1192">
        <v>0</v>
      </c>
      <c r="AW1192">
        <v>0</v>
      </c>
      <c r="AX1192">
        <v>0</v>
      </c>
      <c r="AY1192">
        <v>0</v>
      </c>
      <c r="AZ1192">
        <v>0</v>
      </c>
      <c r="BA1192">
        <v>0</v>
      </c>
      <c r="BB1192">
        <v>0</v>
      </c>
      <c r="BC1192">
        <v>0</v>
      </c>
      <c r="BD1192">
        <v>0</v>
      </c>
      <c r="BE1192">
        <v>0</v>
      </c>
      <c r="BF1192">
        <v>0</v>
      </c>
      <c r="BG1192">
        <v>0</v>
      </c>
      <c r="BH1192">
        <v>3</v>
      </c>
      <c r="BI1192">
        <v>77.900000000000006</v>
      </c>
      <c r="BJ1192">
        <v>166.8</v>
      </c>
      <c r="BK1192">
        <v>167</v>
      </c>
      <c r="BL1192">
        <v>1077.3900000000001</v>
      </c>
      <c r="BM1192">
        <v>161.61000000000001</v>
      </c>
      <c r="BN1192">
        <v>1239</v>
      </c>
      <c r="BO1192">
        <v>1239</v>
      </c>
      <c r="BQ1192" t="s">
        <v>1737</v>
      </c>
      <c r="BR1192" t="s">
        <v>82</v>
      </c>
      <c r="BS1192" s="3">
        <v>46002</v>
      </c>
      <c r="BT1192" s="4">
        <v>0.52916666666666667</v>
      </c>
      <c r="BU1192" t="s">
        <v>1923</v>
      </c>
      <c r="BV1192" t="s">
        <v>84</v>
      </c>
      <c r="BY1192">
        <v>833957.49</v>
      </c>
      <c r="CC1192" t="s">
        <v>121</v>
      </c>
      <c r="CD1192">
        <v>6229</v>
      </c>
      <c r="CE1192" t="s">
        <v>956</v>
      </c>
      <c r="CF1192" s="3">
        <v>46002</v>
      </c>
      <c r="CI1192">
        <v>3</v>
      </c>
      <c r="CJ1192">
        <v>2</v>
      </c>
      <c r="CK1192">
        <v>41</v>
      </c>
      <c r="CL1192" t="s">
        <v>87</v>
      </c>
    </row>
    <row r="1193" spans="1:90" x14ac:dyDescent="0.3">
      <c r="A1193" t="s">
        <v>72</v>
      </c>
      <c r="B1193" t="s">
        <v>73</v>
      </c>
      <c r="C1193" t="s">
        <v>74</v>
      </c>
      <c r="E1193" t="str">
        <f>"080069788058"</f>
        <v>080069788058</v>
      </c>
      <c r="F1193" s="3">
        <v>46000</v>
      </c>
      <c r="G1193">
        <v>202609</v>
      </c>
      <c r="H1193" t="s">
        <v>75</v>
      </c>
      <c r="I1193" t="s">
        <v>76</v>
      </c>
      <c r="J1193" t="s">
        <v>77</v>
      </c>
      <c r="K1193" t="s">
        <v>78</v>
      </c>
      <c r="L1193" t="s">
        <v>698</v>
      </c>
      <c r="M1193" t="s">
        <v>698</v>
      </c>
      <c r="N1193" t="s">
        <v>543</v>
      </c>
      <c r="O1193" t="s">
        <v>89</v>
      </c>
      <c r="P1193" t="str">
        <f>"4170072605                    "</f>
        <v xml:space="preserve">4170072605                    </v>
      </c>
      <c r="Q1193">
        <v>0</v>
      </c>
      <c r="R1193">
        <v>0</v>
      </c>
      <c r="S1193">
        <v>0</v>
      </c>
      <c r="T1193">
        <v>0</v>
      </c>
      <c r="U1193">
        <v>0</v>
      </c>
      <c r="V1193">
        <v>0</v>
      </c>
      <c r="W1193">
        <v>0</v>
      </c>
      <c r="X1193">
        <v>0</v>
      </c>
      <c r="Y1193">
        <v>0</v>
      </c>
      <c r="Z1193">
        <v>0</v>
      </c>
      <c r="AA1193">
        <v>0</v>
      </c>
      <c r="AB1193">
        <v>0</v>
      </c>
      <c r="AC1193">
        <v>0</v>
      </c>
      <c r="AD1193">
        <v>0</v>
      </c>
      <c r="AE1193">
        <v>0</v>
      </c>
      <c r="AF1193">
        <v>0</v>
      </c>
      <c r="AG1193">
        <v>0</v>
      </c>
      <c r="AH1193">
        <v>0</v>
      </c>
      <c r="AI1193">
        <v>0</v>
      </c>
      <c r="AJ1193">
        <v>0</v>
      </c>
      <c r="AK1193">
        <v>0</v>
      </c>
      <c r="AL1193">
        <v>0</v>
      </c>
      <c r="AM1193">
        <v>0</v>
      </c>
      <c r="AN1193">
        <v>0</v>
      </c>
      <c r="AO1193">
        <v>0</v>
      </c>
      <c r="AP1193">
        <v>0</v>
      </c>
      <c r="AQ1193">
        <v>35.9</v>
      </c>
      <c r="AR1193">
        <v>0</v>
      </c>
      <c r="AS1193">
        <v>0</v>
      </c>
      <c r="AT1193">
        <v>0</v>
      </c>
      <c r="AU1193">
        <v>0</v>
      </c>
      <c r="AV1193">
        <v>0</v>
      </c>
      <c r="AW1193">
        <v>0</v>
      </c>
      <c r="AX1193">
        <v>0</v>
      </c>
      <c r="AY1193">
        <v>0</v>
      </c>
      <c r="AZ1193">
        <v>0</v>
      </c>
      <c r="BA1193">
        <v>0</v>
      </c>
      <c r="BB1193">
        <v>0</v>
      </c>
      <c r="BC1193">
        <v>0</v>
      </c>
      <c r="BD1193">
        <v>0</v>
      </c>
      <c r="BE1193">
        <v>0</v>
      </c>
      <c r="BF1193">
        <v>0</v>
      </c>
      <c r="BG1193">
        <v>0</v>
      </c>
      <c r="BH1193">
        <v>1</v>
      </c>
      <c r="BI1193">
        <v>1</v>
      </c>
      <c r="BJ1193">
        <v>0.2</v>
      </c>
      <c r="BK1193">
        <v>1</v>
      </c>
      <c r="BL1193">
        <v>106.98</v>
      </c>
      <c r="BM1193">
        <v>16.05</v>
      </c>
      <c r="BN1193">
        <v>123.03</v>
      </c>
      <c r="BO1193">
        <v>123.03</v>
      </c>
      <c r="BQ1193" t="s">
        <v>544</v>
      </c>
      <c r="BR1193" t="s">
        <v>82</v>
      </c>
      <c r="BS1193" s="3">
        <v>46001</v>
      </c>
      <c r="BT1193" s="4">
        <v>0.55694444444444446</v>
      </c>
      <c r="BU1193" t="s">
        <v>1924</v>
      </c>
      <c r="BV1193" t="s">
        <v>84</v>
      </c>
      <c r="BY1193">
        <v>1200</v>
      </c>
      <c r="CA1193" t="s">
        <v>1231</v>
      </c>
      <c r="CC1193" t="s">
        <v>698</v>
      </c>
      <c r="CD1193">
        <v>1491</v>
      </c>
      <c r="CE1193" t="s">
        <v>134</v>
      </c>
      <c r="CI1193">
        <v>1</v>
      </c>
      <c r="CJ1193">
        <v>1</v>
      </c>
      <c r="CK1193">
        <v>24</v>
      </c>
      <c r="CL1193" t="s">
        <v>87</v>
      </c>
    </row>
    <row r="1194" spans="1:90" x14ac:dyDescent="0.3">
      <c r="A1194" t="s">
        <v>72</v>
      </c>
      <c r="B1194" t="s">
        <v>73</v>
      </c>
      <c r="C1194" t="s">
        <v>74</v>
      </c>
      <c r="E1194" t="str">
        <f>"080069788113"</f>
        <v>080069788113</v>
      </c>
      <c r="F1194" s="3">
        <v>46000</v>
      </c>
      <c r="G1194">
        <v>202609</v>
      </c>
      <c r="H1194" t="s">
        <v>75</v>
      </c>
      <c r="I1194" t="s">
        <v>76</v>
      </c>
      <c r="J1194" t="s">
        <v>77</v>
      </c>
      <c r="K1194" t="s">
        <v>78</v>
      </c>
      <c r="L1194" t="s">
        <v>528</v>
      </c>
      <c r="M1194" t="s">
        <v>529</v>
      </c>
      <c r="N1194" t="s">
        <v>530</v>
      </c>
      <c r="O1194" t="s">
        <v>80</v>
      </c>
      <c r="P1194" t="str">
        <f>"4170072608                    "</f>
        <v xml:space="preserve">4170072608                    </v>
      </c>
      <c r="Q1194">
        <v>0</v>
      </c>
      <c r="R1194">
        <v>0</v>
      </c>
      <c r="S1194">
        <v>0</v>
      </c>
      <c r="T1194">
        <v>0</v>
      </c>
      <c r="U1194">
        <v>0</v>
      </c>
      <c r="V1194">
        <v>0</v>
      </c>
      <c r="W1194">
        <v>0</v>
      </c>
      <c r="X1194">
        <v>0</v>
      </c>
      <c r="Y1194">
        <v>0</v>
      </c>
      <c r="Z1194">
        <v>0</v>
      </c>
      <c r="AA1194">
        <v>0</v>
      </c>
      <c r="AB1194">
        <v>0</v>
      </c>
      <c r="AC1194">
        <v>0</v>
      </c>
      <c r="AD1194">
        <v>0</v>
      </c>
      <c r="AE1194">
        <v>0</v>
      </c>
      <c r="AF1194">
        <v>0</v>
      </c>
      <c r="AG1194">
        <v>0</v>
      </c>
      <c r="AH1194">
        <v>0</v>
      </c>
      <c r="AI1194">
        <v>0</v>
      </c>
      <c r="AJ1194">
        <v>0</v>
      </c>
      <c r="AK1194">
        <v>0</v>
      </c>
      <c r="AL1194">
        <v>0</v>
      </c>
      <c r="AM1194">
        <v>0</v>
      </c>
      <c r="AN1194">
        <v>0</v>
      </c>
      <c r="AO1194">
        <v>0</v>
      </c>
      <c r="AP1194">
        <v>0</v>
      </c>
      <c r="AQ1194">
        <v>69.61</v>
      </c>
      <c r="AR1194">
        <v>0</v>
      </c>
      <c r="AS1194">
        <v>0</v>
      </c>
      <c r="AT1194">
        <v>0</v>
      </c>
      <c r="AU1194">
        <v>0</v>
      </c>
      <c r="AV1194">
        <v>0</v>
      </c>
      <c r="AW1194">
        <v>17.41</v>
      </c>
      <c r="AX1194">
        <v>0</v>
      </c>
      <c r="AY1194">
        <v>0</v>
      </c>
      <c r="AZ1194">
        <v>0</v>
      </c>
      <c r="BA1194">
        <v>0</v>
      </c>
      <c r="BB1194">
        <v>0</v>
      </c>
      <c r="BC1194">
        <v>0</v>
      </c>
      <c r="BD1194">
        <v>0</v>
      </c>
      <c r="BE1194">
        <v>0</v>
      </c>
      <c r="BF1194">
        <v>0</v>
      </c>
      <c r="BG1194">
        <v>0</v>
      </c>
      <c r="BH1194">
        <v>1</v>
      </c>
      <c r="BI1194">
        <v>12.5</v>
      </c>
      <c r="BJ1194">
        <v>4.5</v>
      </c>
      <c r="BK1194">
        <v>13</v>
      </c>
      <c r="BL1194">
        <v>230.97</v>
      </c>
      <c r="BM1194">
        <v>34.65</v>
      </c>
      <c r="BN1194">
        <v>265.62</v>
      </c>
      <c r="BO1194">
        <v>265.62</v>
      </c>
      <c r="BQ1194" t="s">
        <v>531</v>
      </c>
      <c r="BR1194" t="s">
        <v>82</v>
      </c>
      <c r="BS1194" s="3">
        <v>46001</v>
      </c>
      <c r="BT1194" s="4">
        <v>0.46180555555555558</v>
      </c>
      <c r="BU1194" t="s">
        <v>1925</v>
      </c>
      <c r="BV1194" t="s">
        <v>84</v>
      </c>
      <c r="BY1194">
        <v>22250.09</v>
      </c>
      <c r="BZ1194" t="s">
        <v>30</v>
      </c>
      <c r="CC1194" t="s">
        <v>529</v>
      </c>
      <c r="CD1194" s="5" t="s">
        <v>534</v>
      </c>
      <c r="CE1194" t="s">
        <v>86</v>
      </c>
      <c r="CF1194" s="3">
        <v>46002</v>
      </c>
      <c r="CI1194">
        <v>1</v>
      </c>
      <c r="CJ1194">
        <v>1</v>
      </c>
      <c r="CK1194">
        <v>43</v>
      </c>
      <c r="CL1194" t="s">
        <v>87</v>
      </c>
    </row>
    <row r="1195" spans="1:90" x14ac:dyDescent="0.3">
      <c r="A1195" t="s">
        <v>72</v>
      </c>
      <c r="B1195" t="s">
        <v>73</v>
      </c>
      <c r="C1195" t="s">
        <v>74</v>
      </c>
      <c r="E1195" t="str">
        <f>"080069788118"</f>
        <v>080069788118</v>
      </c>
      <c r="F1195" s="3">
        <v>46000</v>
      </c>
      <c r="G1195">
        <v>202609</v>
      </c>
      <c r="H1195" t="s">
        <v>75</v>
      </c>
      <c r="I1195" t="s">
        <v>76</v>
      </c>
      <c r="J1195" t="s">
        <v>77</v>
      </c>
      <c r="K1195" t="s">
        <v>78</v>
      </c>
      <c r="L1195" t="s">
        <v>156</v>
      </c>
      <c r="M1195" t="s">
        <v>157</v>
      </c>
      <c r="N1195" t="s">
        <v>1926</v>
      </c>
      <c r="O1195" t="s">
        <v>89</v>
      </c>
      <c r="P1195" t="str">
        <f>"4170072626                    "</f>
        <v xml:space="preserve">4170072626                    </v>
      </c>
      <c r="Q1195">
        <v>0</v>
      </c>
      <c r="R1195">
        <v>0</v>
      </c>
      <c r="S1195">
        <v>0</v>
      </c>
      <c r="T1195">
        <v>0</v>
      </c>
      <c r="U1195">
        <v>0</v>
      </c>
      <c r="V1195">
        <v>0</v>
      </c>
      <c r="W1195">
        <v>0</v>
      </c>
      <c r="X1195">
        <v>0</v>
      </c>
      <c r="Y1195">
        <v>0</v>
      </c>
      <c r="Z1195">
        <v>0</v>
      </c>
      <c r="AA1195">
        <v>0</v>
      </c>
      <c r="AB1195">
        <v>0</v>
      </c>
      <c r="AC1195">
        <v>0</v>
      </c>
      <c r="AD1195">
        <v>0</v>
      </c>
      <c r="AE1195">
        <v>0</v>
      </c>
      <c r="AF1195">
        <v>0</v>
      </c>
      <c r="AG1195">
        <v>0</v>
      </c>
      <c r="AH1195">
        <v>0</v>
      </c>
      <c r="AI1195">
        <v>0</v>
      </c>
      <c r="AJ1195">
        <v>0</v>
      </c>
      <c r="AK1195">
        <v>0</v>
      </c>
      <c r="AL1195">
        <v>0</v>
      </c>
      <c r="AM1195">
        <v>0</v>
      </c>
      <c r="AN1195">
        <v>0</v>
      </c>
      <c r="AO1195">
        <v>0</v>
      </c>
      <c r="AP1195">
        <v>0</v>
      </c>
      <c r="AQ1195">
        <v>25.52</v>
      </c>
      <c r="AR1195">
        <v>0</v>
      </c>
      <c r="AS1195">
        <v>0</v>
      </c>
      <c r="AT1195">
        <v>0</v>
      </c>
      <c r="AU1195">
        <v>0</v>
      </c>
      <c r="AV1195">
        <v>0</v>
      </c>
      <c r="AW1195">
        <v>0</v>
      </c>
      <c r="AX1195">
        <v>0</v>
      </c>
      <c r="AY1195">
        <v>0</v>
      </c>
      <c r="AZ1195">
        <v>0</v>
      </c>
      <c r="BA1195">
        <v>0</v>
      </c>
      <c r="BB1195">
        <v>0</v>
      </c>
      <c r="BC1195">
        <v>0</v>
      </c>
      <c r="BD1195">
        <v>0</v>
      </c>
      <c r="BE1195">
        <v>0</v>
      </c>
      <c r="BF1195">
        <v>0</v>
      </c>
      <c r="BG1195">
        <v>0</v>
      </c>
      <c r="BH1195">
        <v>1</v>
      </c>
      <c r="BI1195">
        <v>1</v>
      </c>
      <c r="BJ1195">
        <v>0.2</v>
      </c>
      <c r="BK1195">
        <v>1</v>
      </c>
      <c r="BL1195">
        <v>76.06</v>
      </c>
      <c r="BM1195">
        <v>11.41</v>
      </c>
      <c r="BN1195">
        <v>87.47</v>
      </c>
      <c r="BO1195">
        <v>87.47</v>
      </c>
      <c r="BQ1195" t="s">
        <v>1927</v>
      </c>
      <c r="BR1195" t="s">
        <v>82</v>
      </c>
      <c r="BS1195" s="3">
        <v>46002</v>
      </c>
      <c r="BT1195" s="4">
        <v>0.43402777777777779</v>
      </c>
      <c r="BU1195" t="s">
        <v>1928</v>
      </c>
      <c r="BV1195" t="s">
        <v>87</v>
      </c>
      <c r="BW1195" t="s">
        <v>269</v>
      </c>
      <c r="BX1195" t="s">
        <v>1929</v>
      </c>
      <c r="BY1195">
        <v>1200</v>
      </c>
      <c r="CA1195" t="s">
        <v>1009</v>
      </c>
      <c r="CC1195" t="s">
        <v>157</v>
      </c>
      <c r="CD1195">
        <v>7480</v>
      </c>
      <c r="CE1195" t="s">
        <v>134</v>
      </c>
      <c r="CI1195">
        <v>1</v>
      </c>
      <c r="CJ1195">
        <v>2</v>
      </c>
      <c r="CK1195">
        <v>21</v>
      </c>
      <c r="CL1195" t="s">
        <v>87</v>
      </c>
    </row>
    <row r="1196" spans="1:90" x14ac:dyDescent="0.3">
      <c r="A1196" t="s">
        <v>72</v>
      </c>
      <c r="B1196" t="s">
        <v>73</v>
      </c>
      <c r="C1196" t="s">
        <v>74</v>
      </c>
      <c r="E1196" t="str">
        <f>"080069788168"</f>
        <v>080069788168</v>
      </c>
      <c r="F1196" s="3">
        <v>46000</v>
      </c>
      <c r="G1196">
        <v>202609</v>
      </c>
      <c r="H1196" t="s">
        <v>75</v>
      </c>
      <c r="I1196" t="s">
        <v>76</v>
      </c>
      <c r="J1196" t="s">
        <v>77</v>
      </c>
      <c r="K1196" t="s">
        <v>78</v>
      </c>
      <c r="L1196" t="s">
        <v>502</v>
      </c>
      <c r="M1196" t="s">
        <v>503</v>
      </c>
      <c r="N1196" t="s">
        <v>678</v>
      </c>
      <c r="O1196" t="s">
        <v>89</v>
      </c>
      <c r="P1196" t="str">
        <f>"4170072451                    "</f>
        <v xml:space="preserve">4170072451                    </v>
      </c>
      <c r="Q1196">
        <v>0</v>
      </c>
      <c r="R1196">
        <v>0</v>
      </c>
      <c r="S1196">
        <v>0</v>
      </c>
      <c r="T1196">
        <v>0</v>
      </c>
      <c r="U1196">
        <v>0</v>
      </c>
      <c r="V1196">
        <v>0</v>
      </c>
      <c r="W1196">
        <v>0</v>
      </c>
      <c r="X1196">
        <v>0</v>
      </c>
      <c r="Y1196">
        <v>0</v>
      </c>
      <c r="Z1196">
        <v>0</v>
      </c>
      <c r="AA1196">
        <v>0</v>
      </c>
      <c r="AB1196">
        <v>0</v>
      </c>
      <c r="AC1196">
        <v>0</v>
      </c>
      <c r="AD1196">
        <v>0</v>
      </c>
      <c r="AE1196">
        <v>0</v>
      </c>
      <c r="AF1196">
        <v>0</v>
      </c>
      <c r="AG1196">
        <v>0</v>
      </c>
      <c r="AH1196">
        <v>0</v>
      </c>
      <c r="AI1196">
        <v>0</v>
      </c>
      <c r="AJ1196">
        <v>0</v>
      </c>
      <c r="AK1196">
        <v>0</v>
      </c>
      <c r="AL1196">
        <v>0</v>
      </c>
      <c r="AM1196">
        <v>0</v>
      </c>
      <c r="AN1196">
        <v>0</v>
      </c>
      <c r="AO1196">
        <v>0</v>
      </c>
      <c r="AP1196">
        <v>0</v>
      </c>
      <c r="AQ1196">
        <v>19.940000000000001</v>
      </c>
      <c r="AR1196">
        <v>0</v>
      </c>
      <c r="AS1196">
        <v>0</v>
      </c>
      <c r="AT1196">
        <v>0</v>
      </c>
      <c r="AU1196">
        <v>0</v>
      </c>
      <c r="AV1196">
        <v>0</v>
      </c>
      <c r="AW1196">
        <v>0</v>
      </c>
      <c r="AX1196">
        <v>0</v>
      </c>
      <c r="AY1196">
        <v>0</v>
      </c>
      <c r="AZ1196">
        <v>0</v>
      </c>
      <c r="BA1196">
        <v>0</v>
      </c>
      <c r="BB1196">
        <v>0</v>
      </c>
      <c r="BC1196">
        <v>0</v>
      </c>
      <c r="BD1196">
        <v>0</v>
      </c>
      <c r="BE1196">
        <v>0</v>
      </c>
      <c r="BF1196">
        <v>0</v>
      </c>
      <c r="BG1196">
        <v>0</v>
      </c>
      <c r="BH1196">
        <v>1</v>
      </c>
      <c r="BI1196">
        <v>2</v>
      </c>
      <c r="BJ1196">
        <v>1.8</v>
      </c>
      <c r="BK1196">
        <v>2</v>
      </c>
      <c r="BL1196">
        <v>59.42</v>
      </c>
      <c r="BM1196">
        <v>8.91</v>
      </c>
      <c r="BN1196">
        <v>68.33</v>
      </c>
      <c r="BO1196">
        <v>68.33</v>
      </c>
      <c r="BQ1196" t="s">
        <v>1222</v>
      </c>
      <c r="BR1196" t="s">
        <v>82</v>
      </c>
      <c r="BS1196" s="3">
        <v>46001</v>
      </c>
      <c r="BT1196" s="4">
        <v>0.45833333333333331</v>
      </c>
      <c r="BU1196" t="s">
        <v>1930</v>
      </c>
      <c r="BV1196" t="s">
        <v>84</v>
      </c>
      <c r="BY1196">
        <v>8816</v>
      </c>
      <c r="CA1196" t="s">
        <v>507</v>
      </c>
      <c r="CC1196" t="s">
        <v>503</v>
      </c>
      <c r="CD1196">
        <v>1559</v>
      </c>
      <c r="CE1196" t="s">
        <v>86</v>
      </c>
      <c r="CF1196" s="3">
        <v>46001</v>
      </c>
      <c r="CI1196">
        <v>1</v>
      </c>
      <c r="CJ1196">
        <v>1</v>
      </c>
      <c r="CK1196">
        <v>22</v>
      </c>
      <c r="CL1196" t="s">
        <v>87</v>
      </c>
    </row>
    <row r="1197" spans="1:90" x14ac:dyDescent="0.3">
      <c r="A1197" t="s">
        <v>72</v>
      </c>
      <c r="B1197" t="s">
        <v>73</v>
      </c>
      <c r="C1197" t="s">
        <v>74</v>
      </c>
      <c r="E1197" t="str">
        <f>"080069788244"</f>
        <v>080069788244</v>
      </c>
      <c r="F1197" s="3">
        <v>46000</v>
      </c>
      <c r="G1197">
        <v>202609</v>
      </c>
      <c r="H1197" t="s">
        <v>75</v>
      </c>
      <c r="I1197" t="s">
        <v>76</v>
      </c>
      <c r="J1197" t="s">
        <v>77</v>
      </c>
      <c r="K1197" t="s">
        <v>78</v>
      </c>
      <c r="L1197" t="s">
        <v>1120</v>
      </c>
      <c r="M1197" t="s">
        <v>1121</v>
      </c>
      <c r="N1197" t="s">
        <v>1931</v>
      </c>
      <c r="O1197" t="s">
        <v>89</v>
      </c>
      <c r="P1197" t="str">
        <f>"4170072633                    "</f>
        <v xml:space="preserve">4170072633                    </v>
      </c>
      <c r="Q1197">
        <v>0</v>
      </c>
      <c r="R1197">
        <v>0</v>
      </c>
      <c r="S1197">
        <v>0</v>
      </c>
      <c r="T1197">
        <v>0</v>
      </c>
      <c r="U1197">
        <v>0</v>
      </c>
      <c r="V1197">
        <v>0</v>
      </c>
      <c r="W1197">
        <v>0</v>
      </c>
      <c r="X1197">
        <v>0</v>
      </c>
      <c r="Y1197">
        <v>0</v>
      </c>
      <c r="Z1197">
        <v>0</v>
      </c>
      <c r="AA1197">
        <v>0</v>
      </c>
      <c r="AB1197">
        <v>0</v>
      </c>
      <c r="AC1197">
        <v>0</v>
      </c>
      <c r="AD1197">
        <v>0</v>
      </c>
      <c r="AE1197">
        <v>0</v>
      </c>
      <c r="AF1197">
        <v>0</v>
      </c>
      <c r="AG1197">
        <v>0</v>
      </c>
      <c r="AH1197">
        <v>0</v>
      </c>
      <c r="AI1197">
        <v>0</v>
      </c>
      <c r="AJ1197">
        <v>0</v>
      </c>
      <c r="AK1197">
        <v>0</v>
      </c>
      <c r="AL1197">
        <v>0</v>
      </c>
      <c r="AM1197">
        <v>0</v>
      </c>
      <c r="AN1197">
        <v>0</v>
      </c>
      <c r="AO1197">
        <v>0</v>
      </c>
      <c r="AP1197">
        <v>0</v>
      </c>
      <c r="AQ1197">
        <v>71.790000000000006</v>
      </c>
      <c r="AR1197">
        <v>0</v>
      </c>
      <c r="AS1197">
        <v>0</v>
      </c>
      <c r="AT1197">
        <v>0</v>
      </c>
      <c r="AU1197">
        <v>0</v>
      </c>
      <c r="AV1197">
        <v>0</v>
      </c>
      <c r="AW1197">
        <v>0</v>
      </c>
      <c r="AX1197">
        <v>0</v>
      </c>
      <c r="AY1197">
        <v>0</v>
      </c>
      <c r="AZ1197">
        <v>0</v>
      </c>
      <c r="BA1197">
        <v>0</v>
      </c>
      <c r="BB1197">
        <v>0</v>
      </c>
      <c r="BC1197">
        <v>0</v>
      </c>
      <c r="BD1197">
        <v>0</v>
      </c>
      <c r="BE1197">
        <v>0</v>
      </c>
      <c r="BF1197">
        <v>0</v>
      </c>
      <c r="BG1197">
        <v>0</v>
      </c>
      <c r="BH1197">
        <v>1</v>
      </c>
      <c r="BI1197">
        <v>3</v>
      </c>
      <c r="BJ1197">
        <v>1.4</v>
      </c>
      <c r="BK1197">
        <v>3</v>
      </c>
      <c r="BL1197">
        <v>213.94</v>
      </c>
      <c r="BM1197">
        <v>32.090000000000003</v>
      </c>
      <c r="BN1197">
        <v>246.03</v>
      </c>
      <c r="BO1197">
        <v>246.03</v>
      </c>
      <c r="BQ1197" t="s">
        <v>1932</v>
      </c>
      <c r="BR1197" t="s">
        <v>82</v>
      </c>
      <c r="BS1197" s="3">
        <v>46002</v>
      </c>
      <c r="BT1197" s="4">
        <v>0.43333333333333335</v>
      </c>
      <c r="BU1197" t="s">
        <v>1933</v>
      </c>
      <c r="BV1197" t="s">
        <v>87</v>
      </c>
      <c r="BW1197" t="s">
        <v>722</v>
      </c>
      <c r="BX1197" t="s">
        <v>1934</v>
      </c>
      <c r="BY1197">
        <v>7000</v>
      </c>
      <c r="CA1197">
        <v>8201075560082</v>
      </c>
      <c r="CC1197" t="s">
        <v>1121</v>
      </c>
      <c r="CD1197" s="5" t="s">
        <v>1935</v>
      </c>
      <c r="CE1197" t="s">
        <v>86</v>
      </c>
      <c r="CI1197">
        <v>1</v>
      </c>
      <c r="CJ1197">
        <v>2</v>
      </c>
      <c r="CK1197">
        <v>23</v>
      </c>
      <c r="CL1197" t="s">
        <v>87</v>
      </c>
    </row>
    <row r="1198" spans="1:90" x14ac:dyDescent="0.3">
      <c r="A1198" t="s">
        <v>72</v>
      </c>
      <c r="B1198" t="s">
        <v>73</v>
      </c>
      <c r="C1198" t="s">
        <v>74</v>
      </c>
      <c r="E1198" t="str">
        <f>"080069788315"</f>
        <v>080069788315</v>
      </c>
      <c r="F1198" s="3">
        <v>46000</v>
      </c>
      <c r="G1198">
        <v>202609</v>
      </c>
      <c r="H1198" t="s">
        <v>75</v>
      </c>
      <c r="I1198" t="s">
        <v>76</v>
      </c>
      <c r="J1198" t="s">
        <v>77</v>
      </c>
      <c r="K1198" t="s">
        <v>78</v>
      </c>
      <c r="L1198" t="s">
        <v>176</v>
      </c>
      <c r="M1198" t="s">
        <v>177</v>
      </c>
      <c r="N1198" t="s">
        <v>1936</v>
      </c>
      <c r="O1198" t="s">
        <v>80</v>
      </c>
      <c r="P1198" t="str">
        <f>"4170072618                    "</f>
        <v xml:space="preserve">4170072618                    </v>
      </c>
      <c r="Q1198">
        <v>0</v>
      </c>
      <c r="R1198">
        <v>0</v>
      </c>
      <c r="S1198">
        <v>0</v>
      </c>
      <c r="T1198">
        <v>0</v>
      </c>
      <c r="U1198">
        <v>0</v>
      </c>
      <c r="V1198">
        <v>0</v>
      </c>
      <c r="W1198">
        <v>0</v>
      </c>
      <c r="X1198">
        <v>0</v>
      </c>
      <c r="Y1198">
        <v>0</v>
      </c>
      <c r="Z1198">
        <v>0</v>
      </c>
      <c r="AA1198">
        <v>0</v>
      </c>
      <c r="AB1198">
        <v>0</v>
      </c>
      <c r="AC1198">
        <v>0</v>
      </c>
      <c r="AD1198">
        <v>0</v>
      </c>
      <c r="AE1198">
        <v>0</v>
      </c>
      <c r="AF1198">
        <v>0</v>
      </c>
      <c r="AG1198">
        <v>0</v>
      </c>
      <c r="AH1198">
        <v>0</v>
      </c>
      <c r="AI1198">
        <v>0</v>
      </c>
      <c r="AJ1198">
        <v>0</v>
      </c>
      <c r="AK1198">
        <v>0</v>
      </c>
      <c r="AL1198">
        <v>0</v>
      </c>
      <c r="AM1198">
        <v>0</v>
      </c>
      <c r="AN1198">
        <v>0</v>
      </c>
      <c r="AO1198">
        <v>0</v>
      </c>
      <c r="AP1198">
        <v>0</v>
      </c>
      <c r="AQ1198">
        <v>38.090000000000003</v>
      </c>
      <c r="AR1198">
        <v>0</v>
      </c>
      <c r="AS1198">
        <v>0</v>
      </c>
      <c r="AT1198">
        <v>0</v>
      </c>
      <c r="AU1198">
        <v>0</v>
      </c>
      <c r="AV1198">
        <v>0</v>
      </c>
      <c r="AW1198">
        <v>0</v>
      </c>
      <c r="AX1198">
        <v>0</v>
      </c>
      <c r="AY1198">
        <v>0</v>
      </c>
      <c r="AZ1198">
        <v>0</v>
      </c>
      <c r="BA1198">
        <v>0</v>
      </c>
      <c r="BB1198">
        <v>0</v>
      </c>
      <c r="BC1198">
        <v>0</v>
      </c>
      <c r="BD1198">
        <v>0</v>
      </c>
      <c r="BE1198">
        <v>0</v>
      </c>
      <c r="BF1198">
        <v>0</v>
      </c>
      <c r="BG1198">
        <v>0</v>
      </c>
      <c r="BH1198">
        <v>1</v>
      </c>
      <c r="BI1198">
        <v>0.5</v>
      </c>
      <c r="BJ1198">
        <v>7</v>
      </c>
      <c r="BK1198">
        <v>7</v>
      </c>
      <c r="BL1198">
        <v>119.61</v>
      </c>
      <c r="BM1198">
        <v>17.940000000000001</v>
      </c>
      <c r="BN1198">
        <v>137.55000000000001</v>
      </c>
      <c r="BO1198">
        <v>137.55000000000001</v>
      </c>
      <c r="BQ1198" t="s">
        <v>1937</v>
      </c>
      <c r="BR1198" t="s">
        <v>82</v>
      </c>
      <c r="BS1198" s="3">
        <v>46002</v>
      </c>
      <c r="BT1198" s="4">
        <v>0.65972222222222221</v>
      </c>
      <c r="BU1198" t="s">
        <v>416</v>
      </c>
      <c r="BV1198" t="s">
        <v>84</v>
      </c>
      <c r="BY1198">
        <v>35078.82</v>
      </c>
      <c r="CA1198" t="s">
        <v>1938</v>
      </c>
      <c r="CC1198" t="s">
        <v>177</v>
      </c>
      <c r="CD1198">
        <v>2157</v>
      </c>
      <c r="CE1198" t="s">
        <v>93</v>
      </c>
      <c r="CF1198" s="3">
        <v>46003</v>
      </c>
      <c r="CI1198">
        <v>1</v>
      </c>
      <c r="CJ1198">
        <v>2</v>
      </c>
      <c r="CK1198">
        <v>42</v>
      </c>
      <c r="CL1198" t="s">
        <v>87</v>
      </c>
    </row>
    <row r="1199" spans="1:90" x14ac:dyDescent="0.3">
      <c r="A1199" t="s">
        <v>72</v>
      </c>
      <c r="B1199" t="s">
        <v>73</v>
      </c>
      <c r="C1199" t="s">
        <v>74</v>
      </c>
      <c r="E1199" t="str">
        <f>"080069788404"</f>
        <v>080069788404</v>
      </c>
      <c r="F1199" s="3">
        <v>46000</v>
      </c>
      <c r="G1199">
        <v>202609</v>
      </c>
      <c r="H1199" t="s">
        <v>75</v>
      </c>
      <c r="I1199" t="s">
        <v>76</v>
      </c>
      <c r="J1199" t="s">
        <v>77</v>
      </c>
      <c r="K1199" t="s">
        <v>78</v>
      </c>
      <c r="L1199" t="s">
        <v>156</v>
      </c>
      <c r="M1199" t="s">
        <v>157</v>
      </c>
      <c r="N1199" t="s">
        <v>158</v>
      </c>
      <c r="O1199" t="s">
        <v>80</v>
      </c>
      <c r="P1199" t="str">
        <f>"4170072537                    "</f>
        <v xml:space="preserve">4170072537                    </v>
      </c>
      <c r="Q1199">
        <v>0</v>
      </c>
      <c r="R1199">
        <v>0</v>
      </c>
      <c r="S1199">
        <v>0</v>
      </c>
      <c r="T1199">
        <v>0</v>
      </c>
      <c r="U1199">
        <v>0</v>
      </c>
      <c r="V1199">
        <v>0</v>
      </c>
      <c r="W1199">
        <v>0</v>
      </c>
      <c r="X1199">
        <v>0</v>
      </c>
      <c r="Y1199">
        <v>0</v>
      </c>
      <c r="Z1199">
        <v>0</v>
      </c>
      <c r="AA1199">
        <v>0</v>
      </c>
      <c r="AB1199">
        <v>0</v>
      </c>
      <c r="AC1199">
        <v>0</v>
      </c>
      <c r="AD1199">
        <v>0</v>
      </c>
      <c r="AE1199">
        <v>0</v>
      </c>
      <c r="AF1199">
        <v>0</v>
      </c>
      <c r="AG1199">
        <v>0</v>
      </c>
      <c r="AH1199">
        <v>0</v>
      </c>
      <c r="AI1199">
        <v>0</v>
      </c>
      <c r="AJ1199">
        <v>0</v>
      </c>
      <c r="AK1199">
        <v>0</v>
      </c>
      <c r="AL1199">
        <v>0</v>
      </c>
      <c r="AM1199">
        <v>0</v>
      </c>
      <c r="AN1199">
        <v>0</v>
      </c>
      <c r="AO1199">
        <v>0</v>
      </c>
      <c r="AP1199">
        <v>0</v>
      </c>
      <c r="AQ1199">
        <v>94.24</v>
      </c>
      <c r="AR1199">
        <v>0</v>
      </c>
      <c r="AS1199">
        <v>0</v>
      </c>
      <c r="AT1199">
        <v>0</v>
      </c>
      <c r="AU1199">
        <v>0</v>
      </c>
      <c r="AV1199">
        <v>0</v>
      </c>
      <c r="AW1199">
        <v>0</v>
      </c>
      <c r="AX1199">
        <v>0</v>
      </c>
      <c r="AY1199">
        <v>0</v>
      </c>
      <c r="AZ1199">
        <v>0</v>
      </c>
      <c r="BA1199">
        <v>0</v>
      </c>
      <c r="BB1199">
        <v>0</v>
      </c>
      <c r="BC1199">
        <v>0</v>
      </c>
      <c r="BD1199">
        <v>0</v>
      </c>
      <c r="BE1199">
        <v>0</v>
      </c>
      <c r="BF1199">
        <v>0</v>
      </c>
      <c r="BG1199">
        <v>0</v>
      </c>
      <c r="BH1199">
        <v>1</v>
      </c>
      <c r="BI1199">
        <v>36.9</v>
      </c>
      <c r="BJ1199">
        <v>16.600000000000001</v>
      </c>
      <c r="BK1199">
        <v>37</v>
      </c>
      <c r="BL1199">
        <v>286.95999999999998</v>
      </c>
      <c r="BM1199">
        <v>43.04</v>
      </c>
      <c r="BN1199">
        <v>330</v>
      </c>
      <c r="BO1199">
        <v>330</v>
      </c>
      <c r="BQ1199" t="s">
        <v>159</v>
      </c>
      <c r="BR1199" t="s">
        <v>82</v>
      </c>
      <c r="BS1199" s="3">
        <v>46002</v>
      </c>
      <c r="BT1199" s="4">
        <v>0.37708333333333333</v>
      </c>
      <c r="BU1199" t="s">
        <v>1875</v>
      </c>
      <c r="BV1199" t="s">
        <v>84</v>
      </c>
      <c r="BY1199">
        <v>83090.8</v>
      </c>
      <c r="CA1199" t="s">
        <v>1876</v>
      </c>
      <c r="CC1199" t="s">
        <v>157</v>
      </c>
      <c r="CD1199">
        <v>7530</v>
      </c>
      <c r="CE1199" t="s">
        <v>86</v>
      </c>
      <c r="CI1199">
        <v>3</v>
      </c>
      <c r="CJ1199">
        <v>2</v>
      </c>
      <c r="CK1199">
        <v>41</v>
      </c>
      <c r="CL1199" t="s">
        <v>87</v>
      </c>
    </row>
    <row r="1200" spans="1:90" x14ac:dyDescent="0.3">
      <c r="A1200" t="s">
        <v>72</v>
      </c>
      <c r="B1200" t="s">
        <v>73</v>
      </c>
      <c r="C1200" t="s">
        <v>74</v>
      </c>
      <c r="E1200" t="str">
        <f>"080069788430"</f>
        <v>080069788430</v>
      </c>
      <c r="F1200" s="3">
        <v>46000</v>
      </c>
      <c r="G1200">
        <v>202609</v>
      </c>
      <c r="H1200" t="s">
        <v>75</v>
      </c>
      <c r="I1200" t="s">
        <v>76</v>
      </c>
      <c r="J1200" t="s">
        <v>77</v>
      </c>
      <c r="K1200" t="s">
        <v>78</v>
      </c>
      <c r="L1200" t="s">
        <v>141</v>
      </c>
      <c r="M1200" t="s">
        <v>142</v>
      </c>
      <c r="N1200" t="s">
        <v>312</v>
      </c>
      <c r="O1200" t="s">
        <v>89</v>
      </c>
      <c r="P1200" t="str">
        <f>"4170072602                    "</f>
        <v xml:space="preserve">4170072602                    </v>
      </c>
      <c r="Q1200">
        <v>0</v>
      </c>
      <c r="R1200">
        <v>0</v>
      </c>
      <c r="S1200">
        <v>0</v>
      </c>
      <c r="T1200">
        <v>0</v>
      </c>
      <c r="U1200">
        <v>0</v>
      </c>
      <c r="V1200">
        <v>0</v>
      </c>
      <c r="W1200">
        <v>0</v>
      </c>
      <c r="X1200">
        <v>0</v>
      </c>
      <c r="Y1200">
        <v>0</v>
      </c>
      <c r="Z1200">
        <v>0</v>
      </c>
      <c r="AA1200">
        <v>0</v>
      </c>
      <c r="AB1200">
        <v>0</v>
      </c>
      <c r="AC1200">
        <v>0</v>
      </c>
      <c r="AD1200">
        <v>0</v>
      </c>
      <c r="AE1200">
        <v>0</v>
      </c>
      <c r="AF1200">
        <v>0</v>
      </c>
      <c r="AG1200">
        <v>0</v>
      </c>
      <c r="AH1200">
        <v>0</v>
      </c>
      <c r="AI1200">
        <v>0</v>
      </c>
      <c r="AJ1200">
        <v>0</v>
      </c>
      <c r="AK1200">
        <v>0</v>
      </c>
      <c r="AL1200">
        <v>0</v>
      </c>
      <c r="AM1200">
        <v>0</v>
      </c>
      <c r="AN1200">
        <v>0</v>
      </c>
      <c r="AO1200">
        <v>0</v>
      </c>
      <c r="AP1200">
        <v>0</v>
      </c>
      <c r="AQ1200">
        <v>44.66</v>
      </c>
      <c r="AR1200">
        <v>0</v>
      </c>
      <c r="AS1200">
        <v>0</v>
      </c>
      <c r="AT1200">
        <v>0</v>
      </c>
      <c r="AU1200">
        <v>0</v>
      </c>
      <c r="AV1200">
        <v>0</v>
      </c>
      <c r="AW1200">
        <v>0</v>
      </c>
      <c r="AX1200">
        <v>0</v>
      </c>
      <c r="AY1200">
        <v>0</v>
      </c>
      <c r="AZ1200">
        <v>0</v>
      </c>
      <c r="BA1200">
        <v>0</v>
      </c>
      <c r="BB1200">
        <v>0</v>
      </c>
      <c r="BC1200">
        <v>0</v>
      </c>
      <c r="BD1200">
        <v>0</v>
      </c>
      <c r="BE1200">
        <v>0</v>
      </c>
      <c r="BF1200">
        <v>0</v>
      </c>
      <c r="BG1200">
        <v>0</v>
      </c>
      <c r="BH1200">
        <v>1</v>
      </c>
      <c r="BI1200">
        <v>0.2</v>
      </c>
      <c r="BJ1200">
        <v>3.5</v>
      </c>
      <c r="BK1200">
        <v>3.5</v>
      </c>
      <c r="BL1200">
        <v>133.09</v>
      </c>
      <c r="BM1200">
        <v>19.96</v>
      </c>
      <c r="BN1200">
        <v>153.05000000000001</v>
      </c>
      <c r="BO1200">
        <v>153.05000000000001</v>
      </c>
      <c r="BQ1200" t="s">
        <v>313</v>
      </c>
      <c r="BR1200" t="s">
        <v>82</v>
      </c>
      <c r="BS1200" s="3">
        <v>46001</v>
      </c>
      <c r="BT1200" s="4">
        <v>0.39583333333333331</v>
      </c>
      <c r="BU1200" t="s">
        <v>1877</v>
      </c>
      <c r="BV1200" t="s">
        <v>84</v>
      </c>
      <c r="BY1200">
        <v>17275.5</v>
      </c>
      <c r="CA1200" t="s">
        <v>315</v>
      </c>
      <c r="CC1200" t="s">
        <v>142</v>
      </c>
      <c r="CD1200">
        <v>6001</v>
      </c>
      <c r="CE1200" t="s">
        <v>86</v>
      </c>
      <c r="CF1200" s="3">
        <v>46001</v>
      </c>
      <c r="CI1200">
        <v>1</v>
      </c>
      <c r="CJ1200">
        <v>1</v>
      </c>
      <c r="CK1200">
        <v>21</v>
      </c>
      <c r="CL1200" t="s">
        <v>87</v>
      </c>
    </row>
    <row r="1201" spans="1:90" x14ac:dyDescent="0.3">
      <c r="A1201" t="s">
        <v>72</v>
      </c>
      <c r="B1201" t="s">
        <v>73</v>
      </c>
      <c r="C1201" t="s">
        <v>74</v>
      </c>
      <c r="E1201" t="str">
        <f>"080069788494"</f>
        <v>080069788494</v>
      </c>
      <c r="F1201" s="3">
        <v>46000</v>
      </c>
      <c r="G1201">
        <v>202609</v>
      </c>
      <c r="H1201" t="s">
        <v>75</v>
      </c>
      <c r="I1201" t="s">
        <v>76</v>
      </c>
      <c r="J1201" t="s">
        <v>77</v>
      </c>
      <c r="K1201" t="s">
        <v>78</v>
      </c>
      <c r="L1201" t="s">
        <v>189</v>
      </c>
      <c r="M1201" t="s">
        <v>190</v>
      </c>
      <c r="N1201" t="s">
        <v>191</v>
      </c>
      <c r="O1201" t="s">
        <v>89</v>
      </c>
      <c r="P1201" t="str">
        <f>"4170072617                    "</f>
        <v xml:space="preserve">4170072617                    </v>
      </c>
      <c r="Q1201">
        <v>0</v>
      </c>
      <c r="R1201">
        <v>0</v>
      </c>
      <c r="S1201">
        <v>0</v>
      </c>
      <c r="T1201">
        <v>0</v>
      </c>
      <c r="U1201">
        <v>0</v>
      </c>
      <c r="V1201">
        <v>0</v>
      </c>
      <c r="W1201">
        <v>0</v>
      </c>
      <c r="X1201">
        <v>0</v>
      </c>
      <c r="Y1201">
        <v>0</v>
      </c>
      <c r="Z1201">
        <v>0</v>
      </c>
      <c r="AA1201">
        <v>0</v>
      </c>
      <c r="AB1201">
        <v>0</v>
      </c>
      <c r="AC1201">
        <v>0</v>
      </c>
      <c r="AD1201">
        <v>0</v>
      </c>
      <c r="AE1201">
        <v>0</v>
      </c>
      <c r="AF1201">
        <v>0</v>
      </c>
      <c r="AG1201">
        <v>0</v>
      </c>
      <c r="AH1201">
        <v>0</v>
      </c>
      <c r="AI1201">
        <v>0</v>
      </c>
      <c r="AJ1201">
        <v>0</v>
      </c>
      <c r="AK1201">
        <v>0</v>
      </c>
      <c r="AL1201">
        <v>0</v>
      </c>
      <c r="AM1201">
        <v>0</v>
      </c>
      <c r="AN1201">
        <v>0</v>
      </c>
      <c r="AO1201">
        <v>0</v>
      </c>
      <c r="AP1201">
        <v>0</v>
      </c>
      <c r="AQ1201">
        <v>25.52</v>
      </c>
      <c r="AR1201">
        <v>0</v>
      </c>
      <c r="AS1201">
        <v>0</v>
      </c>
      <c r="AT1201">
        <v>0</v>
      </c>
      <c r="AU1201">
        <v>0</v>
      </c>
      <c r="AV1201">
        <v>0</v>
      </c>
      <c r="AW1201">
        <v>0</v>
      </c>
      <c r="AX1201">
        <v>0</v>
      </c>
      <c r="AY1201">
        <v>0</v>
      </c>
      <c r="AZ1201">
        <v>0</v>
      </c>
      <c r="BA1201">
        <v>0</v>
      </c>
      <c r="BB1201">
        <v>0</v>
      </c>
      <c r="BC1201">
        <v>0</v>
      </c>
      <c r="BD1201">
        <v>0</v>
      </c>
      <c r="BE1201">
        <v>0</v>
      </c>
      <c r="BF1201">
        <v>0</v>
      </c>
      <c r="BG1201">
        <v>0</v>
      </c>
      <c r="BH1201">
        <v>1</v>
      </c>
      <c r="BI1201">
        <v>0.2</v>
      </c>
      <c r="BJ1201">
        <v>1.2</v>
      </c>
      <c r="BK1201">
        <v>1.5</v>
      </c>
      <c r="BL1201">
        <v>76.06</v>
      </c>
      <c r="BM1201">
        <v>11.41</v>
      </c>
      <c r="BN1201">
        <v>87.47</v>
      </c>
      <c r="BO1201">
        <v>87.47</v>
      </c>
      <c r="BQ1201" t="s">
        <v>192</v>
      </c>
      <c r="BR1201" t="s">
        <v>82</v>
      </c>
      <c r="BS1201" s="3">
        <v>46001</v>
      </c>
      <c r="BT1201" s="4">
        <v>0.6694444444444444</v>
      </c>
      <c r="BU1201" t="s">
        <v>1939</v>
      </c>
      <c r="BV1201" t="s">
        <v>87</v>
      </c>
      <c r="BY1201">
        <v>6125</v>
      </c>
      <c r="CA1201" t="s">
        <v>432</v>
      </c>
      <c r="CC1201" t="s">
        <v>190</v>
      </c>
      <c r="CD1201">
        <v>3201</v>
      </c>
      <c r="CE1201" t="s">
        <v>86</v>
      </c>
      <c r="CF1201" s="3">
        <v>46002</v>
      </c>
      <c r="CI1201">
        <v>1</v>
      </c>
      <c r="CJ1201">
        <v>1</v>
      </c>
      <c r="CK1201">
        <v>21</v>
      </c>
      <c r="CL1201" t="s">
        <v>87</v>
      </c>
    </row>
    <row r="1202" spans="1:90" x14ac:dyDescent="0.3">
      <c r="A1202" t="s">
        <v>72</v>
      </c>
      <c r="B1202" t="s">
        <v>73</v>
      </c>
      <c r="C1202" t="s">
        <v>74</v>
      </c>
      <c r="E1202" t="str">
        <f>"080069788546"</f>
        <v>080069788546</v>
      </c>
      <c r="F1202" s="3">
        <v>46000</v>
      </c>
      <c r="G1202">
        <v>202609</v>
      </c>
      <c r="H1202" t="s">
        <v>75</v>
      </c>
      <c r="I1202" t="s">
        <v>76</v>
      </c>
      <c r="J1202" t="s">
        <v>77</v>
      </c>
      <c r="K1202" t="s">
        <v>78</v>
      </c>
      <c r="L1202" t="s">
        <v>156</v>
      </c>
      <c r="M1202" t="s">
        <v>157</v>
      </c>
      <c r="N1202" t="s">
        <v>158</v>
      </c>
      <c r="O1202" t="s">
        <v>89</v>
      </c>
      <c r="P1202" t="str">
        <f>"4170072601                    "</f>
        <v xml:space="preserve">4170072601                    </v>
      </c>
      <c r="Q1202">
        <v>0</v>
      </c>
      <c r="R1202">
        <v>0</v>
      </c>
      <c r="S1202">
        <v>0</v>
      </c>
      <c r="T1202">
        <v>0</v>
      </c>
      <c r="U1202">
        <v>0</v>
      </c>
      <c r="V1202">
        <v>0</v>
      </c>
      <c r="W1202">
        <v>0</v>
      </c>
      <c r="X1202">
        <v>0</v>
      </c>
      <c r="Y1202">
        <v>0</v>
      </c>
      <c r="Z1202">
        <v>0</v>
      </c>
      <c r="AA1202">
        <v>0</v>
      </c>
      <c r="AB1202">
        <v>0</v>
      </c>
      <c r="AC1202">
        <v>0</v>
      </c>
      <c r="AD1202">
        <v>0</v>
      </c>
      <c r="AE1202">
        <v>0</v>
      </c>
      <c r="AF1202">
        <v>0</v>
      </c>
      <c r="AG1202">
        <v>0</v>
      </c>
      <c r="AH1202">
        <v>0</v>
      </c>
      <c r="AI1202">
        <v>0</v>
      </c>
      <c r="AJ1202">
        <v>0</v>
      </c>
      <c r="AK1202">
        <v>0</v>
      </c>
      <c r="AL1202">
        <v>0</v>
      </c>
      <c r="AM1202">
        <v>0</v>
      </c>
      <c r="AN1202">
        <v>0</v>
      </c>
      <c r="AO1202">
        <v>0</v>
      </c>
      <c r="AP1202">
        <v>0</v>
      </c>
      <c r="AQ1202">
        <v>25.52</v>
      </c>
      <c r="AR1202">
        <v>0</v>
      </c>
      <c r="AS1202">
        <v>0</v>
      </c>
      <c r="AT1202">
        <v>0</v>
      </c>
      <c r="AU1202">
        <v>0</v>
      </c>
      <c r="AV1202">
        <v>0</v>
      </c>
      <c r="AW1202">
        <v>0</v>
      </c>
      <c r="AX1202">
        <v>0</v>
      </c>
      <c r="AY1202">
        <v>0</v>
      </c>
      <c r="AZ1202">
        <v>0</v>
      </c>
      <c r="BA1202">
        <v>0</v>
      </c>
      <c r="BB1202">
        <v>0</v>
      </c>
      <c r="BC1202">
        <v>0</v>
      </c>
      <c r="BD1202">
        <v>0</v>
      </c>
      <c r="BE1202">
        <v>0</v>
      </c>
      <c r="BF1202">
        <v>0</v>
      </c>
      <c r="BG1202">
        <v>0</v>
      </c>
      <c r="BH1202">
        <v>1</v>
      </c>
      <c r="BI1202">
        <v>1</v>
      </c>
      <c r="BJ1202">
        <v>0.2</v>
      </c>
      <c r="BK1202">
        <v>1</v>
      </c>
      <c r="BL1202">
        <v>76.06</v>
      </c>
      <c r="BM1202">
        <v>11.41</v>
      </c>
      <c r="BN1202">
        <v>87.47</v>
      </c>
      <c r="BO1202">
        <v>87.47</v>
      </c>
      <c r="BQ1202" t="s">
        <v>159</v>
      </c>
      <c r="BR1202" t="s">
        <v>82</v>
      </c>
      <c r="BS1202" s="3">
        <v>46001</v>
      </c>
      <c r="BT1202" s="4">
        <v>0.43472222222222223</v>
      </c>
      <c r="BU1202" t="s">
        <v>1858</v>
      </c>
      <c r="BV1202" t="s">
        <v>84</v>
      </c>
      <c r="BY1202">
        <v>1200</v>
      </c>
      <c r="CA1202" t="s">
        <v>1217</v>
      </c>
      <c r="CC1202" t="s">
        <v>157</v>
      </c>
      <c r="CD1202">
        <v>7535</v>
      </c>
      <c r="CE1202" t="s">
        <v>134</v>
      </c>
      <c r="CF1202" s="3">
        <v>46002</v>
      </c>
      <c r="CI1202">
        <v>1</v>
      </c>
      <c r="CJ1202">
        <v>1</v>
      </c>
      <c r="CK1202">
        <v>21</v>
      </c>
      <c r="CL1202" t="s">
        <v>87</v>
      </c>
    </row>
    <row r="1203" spans="1:90" x14ac:dyDescent="0.3">
      <c r="A1203" t="s">
        <v>72</v>
      </c>
      <c r="B1203" t="s">
        <v>73</v>
      </c>
      <c r="C1203" t="s">
        <v>74</v>
      </c>
      <c r="E1203" t="str">
        <f>"080069788917"</f>
        <v>080069788917</v>
      </c>
      <c r="F1203" s="3">
        <v>46000</v>
      </c>
      <c r="G1203">
        <v>202609</v>
      </c>
      <c r="H1203" t="s">
        <v>75</v>
      </c>
      <c r="I1203" t="s">
        <v>76</v>
      </c>
      <c r="J1203" t="s">
        <v>77</v>
      </c>
      <c r="K1203" t="s">
        <v>78</v>
      </c>
      <c r="L1203" t="s">
        <v>366</v>
      </c>
      <c r="M1203" t="s">
        <v>367</v>
      </c>
      <c r="N1203" t="s">
        <v>521</v>
      </c>
      <c r="O1203" t="s">
        <v>80</v>
      </c>
      <c r="P1203" t="str">
        <f>"4170072598                    "</f>
        <v xml:space="preserve">4170072598                    </v>
      </c>
      <c r="Q1203">
        <v>0</v>
      </c>
      <c r="R1203">
        <v>0</v>
      </c>
      <c r="S1203">
        <v>0</v>
      </c>
      <c r="T1203">
        <v>0</v>
      </c>
      <c r="U1203">
        <v>0</v>
      </c>
      <c r="V1203">
        <v>0</v>
      </c>
      <c r="W1203">
        <v>0</v>
      </c>
      <c r="X1203">
        <v>0</v>
      </c>
      <c r="Y1203">
        <v>0</v>
      </c>
      <c r="Z1203">
        <v>0</v>
      </c>
      <c r="AA1203">
        <v>0</v>
      </c>
      <c r="AB1203">
        <v>0</v>
      </c>
      <c r="AC1203">
        <v>0</v>
      </c>
      <c r="AD1203">
        <v>0</v>
      </c>
      <c r="AE1203">
        <v>0</v>
      </c>
      <c r="AF1203">
        <v>0</v>
      </c>
      <c r="AG1203">
        <v>0</v>
      </c>
      <c r="AH1203">
        <v>0</v>
      </c>
      <c r="AI1203">
        <v>0</v>
      </c>
      <c r="AJ1203">
        <v>0</v>
      </c>
      <c r="AK1203">
        <v>0</v>
      </c>
      <c r="AL1203">
        <v>0</v>
      </c>
      <c r="AM1203">
        <v>0</v>
      </c>
      <c r="AN1203">
        <v>0</v>
      </c>
      <c r="AO1203">
        <v>0</v>
      </c>
      <c r="AP1203">
        <v>0</v>
      </c>
      <c r="AQ1203">
        <v>126.5</v>
      </c>
      <c r="AR1203">
        <v>0</v>
      </c>
      <c r="AS1203">
        <v>0</v>
      </c>
      <c r="AT1203">
        <v>0</v>
      </c>
      <c r="AU1203">
        <v>0</v>
      </c>
      <c r="AV1203">
        <v>0</v>
      </c>
      <c r="AW1203">
        <v>0</v>
      </c>
      <c r="AX1203">
        <v>0</v>
      </c>
      <c r="AY1203">
        <v>0</v>
      </c>
      <c r="AZ1203">
        <v>0</v>
      </c>
      <c r="BA1203">
        <v>0</v>
      </c>
      <c r="BB1203">
        <v>0</v>
      </c>
      <c r="BC1203">
        <v>0</v>
      </c>
      <c r="BD1203">
        <v>0</v>
      </c>
      <c r="BE1203">
        <v>0</v>
      </c>
      <c r="BF1203">
        <v>0</v>
      </c>
      <c r="BG1203">
        <v>0</v>
      </c>
      <c r="BH1203">
        <v>1</v>
      </c>
      <c r="BI1203">
        <v>14</v>
      </c>
      <c r="BJ1203">
        <v>30.9</v>
      </c>
      <c r="BK1203">
        <v>31</v>
      </c>
      <c r="BL1203">
        <v>383.09</v>
      </c>
      <c r="BM1203">
        <v>57.46</v>
      </c>
      <c r="BN1203">
        <v>440.55</v>
      </c>
      <c r="BO1203">
        <v>440.55</v>
      </c>
      <c r="BQ1203" t="s">
        <v>522</v>
      </c>
      <c r="BR1203" t="s">
        <v>82</v>
      </c>
      <c r="BS1203" s="3">
        <v>46001</v>
      </c>
      <c r="BT1203" s="4">
        <v>0.52500000000000002</v>
      </c>
      <c r="BU1203" t="s">
        <v>1940</v>
      </c>
      <c r="BV1203" t="s">
        <v>84</v>
      </c>
      <c r="BY1203">
        <v>154560</v>
      </c>
      <c r="CA1203">
        <v>8510125994083</v>
      </c>
      <c r="CC1203" t="s">
        <v>367</v>
      </c>
      <c r="CD1203">
        <v>1900</v>
      </c>
      <c r="CE1203" t="s">
        <v>86</v>
      </c>
      <c r="CF1203" s="3">
        <v>46002</v>
      </c>
      <c r="CI1203">
        <v>1</v>
      </c>
      <c r="CJ1203">
        <v>1</v>
      </c>
      <c r="CK1203">
        <v>43</v>
      </c>
      <c r="CL1203" t="s">
        <v>87</v>
      </c>
    </row>
    <row r="1204" spans="1:90" x14ac:dyDescent="0.3">
      <c r="A1204" t="s">
        <v>72</v>
      </c>
      <c r="B1204" t="s">
        <v>73</v>
      </c>
      <c r="C1204" t="s">
        <v>74</v>
      </c>
      <c r="E1204" t="str">
        <f>"080069788976"</f>
        <v>080069788976</v>
      </c>
      <c r="F1204" s="3">
        <v>46000</v>
      </c>
      <c r="G1204">
        <v>202609</v>
      </c>
      <c r="H1204" t="s">
        <v>75</v>
      </c>
      <c r="I1204" t="s">
        <v>76</v>
      </c>
      <c r="J1204" t="s">
        <v>77</v>
      </c>
      <c r="K1204" t="s">
        <v>78</v>
      </c>
      <c r="L1204" t="s">
        <v>100</v>
      </c>
      <c r="M1204" t="s">
        <v>101</v>
      </c>
      <c r="N1204" t="s">
        <v>1367</v>
      </c>
      <c r="O1204" t="s">
        <v>89</v>
      </c>
      <c r="P1204" t="str">
        <f>"4170072494                    "</f>
        <v xml:space="preserve">4170072494                    </v>
      </c>
      <c r="Q1204">
        <v>0</v>
      </c>
      <c r="R1204">
        <v>0</v>
      </c>
      <c r="S1204">
        <v>0</v>
      </c>
      <c r="T1204">
        <v>0</v>
      </c>
      <c r="U1204">
        <v>0</v>
      </c>
      <c r="V1204">
        <v>0</v>
      </c>
      <c r="W1204">
        <v>0</v>
      </c>
      <c r="X1204">
        <v>0</v>
      </c>
      <c r="Y1204">
        <v>0</v>
      </c>
      <c r="Z1204">
        <v>0</v>
      </c>
      <c r="AA1204">
        <v>0</v>
      </c>
      <c r="AB1204">
        <v>0</v>
      </c>
      <c r="AC1204">
        <v>0</v>
      </c>
      <c r="AD1204">
        <v>0</v>
      </c>
      <c r="AE1204">
        <v>0</v>
      </c>
      <c r="AF1204">
        <v>0</v>
      </c>
      <c r="AG1204">
        <v>0</v>
      </c>
      <c r="AH1204">
        <v>0</v>
      </c>
      <c r="AI1204">
        <v>0</v>
      </c>
      <c r="AJ1204">
        <v>0</v>
      </c>
      <c r="AK1204">
        <v>0</v>
      </c>
      <c r="AL1204">
        <v>0</v>
      </c>
      <c r="AM1204">
        <v>0</v>
      </c>
      <c r="AN1204">
        <v>0</v>
      </c>
      <c r="AO1204">
        <v>0</v>
      </c>
      <c r="AP1204">
        <v>0</v>
      </c>
      <c r="AQ1204">
        <v>204.11</v>
      </c>
      <c r="AR1204">
        <v>0</v>
      </c>
      <c r="AS1204">
        <v>0</v>
      </c>
      <c r="AT1204">
        <v>0</v>
      </c>
      <c r="AU1204">
        <v>0</v>
      </c>
      <c r="AV1204">
        <v>0</v>
      </c>
      <c r="AW1204">
        <v>0</v>
      </c>
      <c r="AX1204">
        <v>0</v>
      </c>
      <c r="AY1204">
        <v>0</v>
      </c>
      <c r="AZ1204">
        <v>0</v>
      </c>
      <c r="BA1204">
        <v>0</v>
      </c>
      <c r="BB1204">
        <v>0</v>
      </c>
      <c r="BC1204">
        <v>0</v>
      </c>
      <c r="BD1204">
        <v>0</v>
      </c>
      <c r="BE1204">
        <v>0</v>
      </c>
      <c r="BF1204">
        <v>0</v>
      </c>
      <c r="BG1204">
        <v>0</v>
      </c>
      <c r="BH1204">
        <v>2</v>
      </c>
      <c r="BI1204">
        <v>5.8</v>
      </c>
      <c r="BJ1204">
        <v>15.7</v>
      </c>
      <c r="BK1204">
        <v>16</v>
      </c>
      <c r="BL1204">
        <v>608.29</v>
      </c>
      <c r="BM1204">
        <v>91.24</v>
      </c>
      <c r="BN1204">
        <v>699.53</v>
      </c>
      <c r="BO1204">
        <v>699.53</v>
      </c>
      <c r="BQ1204" t="s">
        <v>1368</v>
      </c>
      <c r="BR1204" t="s">
        <v>82</v>
      </c>
      <c r="BS1204" s="3">
        <v>46001</v>
      </c>
      <c r="BT1204" s="4">
        <v>0.4375</v>
      </c>
      <c r="BU1204" t="s">
        <v>1941</v>
      </c>
      <c r="BV1204" t="s">
        <v>84</v>
      </c>
      <c r="BY1204">
        <v>78693.08</v>
      </c>
      <c r="CA1204" t="s">
        <v>1942</v>
      </c>
      <c r="CC1204" t="s">
        <v>101</v>
      </c>
      <c r="CD1204">
        <v>4001</v>
      </c>
      <c r="CE1204" t="s">
        <v>86</v>
      </c>
      <c r="CF1204" s="3">
        <v>46002</v>
      </c>
      <c r="CI1204">
        <v>1</v>
      </c>
      <c r="CJ1204">
        <v>1</v>
      </c>
      <c r="CK1204">
        <v>21</v>
      </c>
      <c r="CL1204" t="s">
        <v>87</v>
      </c>
    </row>
    <row r="1205" spans="1:90" x14ac:dyDescent="0.3">
      <c r="A1205" t="s">
        <v>72</v>
      </c>
      <c r="B1205" t="s">
        <v>73</v>
      </c>
      <c r="C1205" t="s">
        <v>74</v>
      </c>
      <c r="E1205" t="str">
        <f>"080069789010"</f>
        <v>080069789010</v>
      </c>
      <c r="F1205" s="3">
        <v>46000</v>
      </c>
      <c r="G1205">
        <v>202609</v>
      </c>
      <c r="H1205" t="s">
        <v>75</v>
      </c>
      <c r="I1205" t="s">
        <v>76</v>
      </c>
      <c r="J1205" t="s">
        <v>77</v>
      </c>
      <c r="K1205" t="s">
        <v>78</v>
      </c>
      <c r="L1205" t="s">
        <v>283</v>
      </c>
      <c r="M1205" t="s">
        <v>284</v>
      </c>
      <c r="N1205" t="s">
        <v>285</v>
      </c>
      <c r="O1205" t="s">
        <v>89</v>
      </c>
      <c r="P1205" t="str">
        <f>"4170072622                    "</f>
        <v xml:space="preserve">4170072622                    </v>
      </c>
      <c r="Q1205">
        <v>0</v>
      </c>
      <c r="R1205">
        <v>0</v>
      </c>
      <c r="S1205">
        <v>0</v>
      </c>
      <c r="T1205">
        <v>0</v>
      </c>
      <c r="U1205">
        <v>0</v>
      </c>
      <c r="V1205">
        <v>0</v>
      </c>
      <c r="W1205">
        <v>0</v>
      </c>
      <c r="X1205">
        <v>0</v>
      </c>
      <c r="Y1205">
        <v>0</v>
      </c>
      <c r="Z1205">
        <v>0</v>
      </c>
      <c r="AA1205">
        <v>0</v>
      </c>
      <c r="AB1205">
        <v>0</v>
      </c>
      <c r="AC1205">
        <v>0</v>
      </c>
      <c r="AD1205">
        <v>0</v>
      </c>
      <c r="AE1205">
        <v>0</v>
      </c>
      <c r="AF1205">
        <v>0</v>
      </c>
      <c r="AG1205">
        <v>0</v>
      </c>
      <c r="AH1205">
        <v>0</v>
      </c>
      <c r="AI1205">
        <v>0</v>
      </c>
      <c r="AJ1205">
        <v>0</v>
      </c>
      <c r="AK1205">
        <v>0</v>
      </c>
      <c r="AL1205">
        <v>0</v>
      </c>
      <c r="AM1205">
        <v>0</v>
      </c>
      <c r="AN1205">
        <v>0</v>
      </c>
      <c r="AO1205">
        <v>0</v>
      </c>
      <c r="AP1205">
        <v>0</v>
      </c>
      <c r="AQ1205">
        <v>49.45</v>
      </c>
      <c r="AR1205">
        <v>0</v>
      </c>
      <c r="AS1205">
        <v>0</v>
      </c>
      <c r="AT1205">
        <v>0</v>
      </c>
      <c r="AU1205">
        <v>0</v>
      </c>
      <c r="AV1205">
        <v>0</v>
      </c>
      <c r="AW1205">
        <v>0</v>
      </c>
      <c r="AX1205">
        <v>0</v>
      </c>
      <c r="AY1205">
        <v>0</v>
      </c>
      <c r="AZ1205">
        <v>0</v>
      </c>
      <c r="BA1205">
        <v>0</v>
      </c>
      <c r="BB1205">
        <v>0</v>
      </c>
      <c r="BC1205">
        <v>0</v>
      </c>
      <c r="BD1205">
        <v>0</v>
      </c>
      <c r="BE1205">
        <v>0</v>
      </c>
      <c r="BF1205">
        <v>0</v>
      </c>
      <c r="BG1205">
        <v>0</v>
      </c>
      <c r="BH1205">
        <v>1</v>
      </c>
      <c r="BI1205">
        <v>1</v>
      </c>
      <c r="BJ1205">
        <v>0.2</v>
      </c>
      <c r="BK1205">
        <v>1</v>
      </c>
      <c r="BL1205">
        <v>147.38</v>
      </c>
      <c r="BM1205">
        <v>22.11</v>
      </c>
      <c r="BN1205">
        <v>169.49</v>
      </c>
      <c r="BO1205">
        <v>169.49</v>
      </c>
      <c r="BQ1205" t="s">
        <v>286</v>
      </c>
      <c r="BR1205" t="s">
        <v>82</v>
      </c>
      <c r="BS1205" s="3">
        <v>46001</v>
      </c>
      <c r="BT1205" s="4">
        <v>0.37847222222222221</v>
      </c>
      <c r="BU1205" t="s">
        <v>287</v>
      </c>
      <c r="BV1205" t="s">
        <v>84</v>
      </c>
      <c r="BY1205">
        <v>1200</v>
      </c>
      <c r="CA1205">
        <v>6805135560080</v>
      </c>
      <c r="CC1205" t="s">
        <v>284</v>
      </c>
      <c r="CD1205">
        <v>1947</v>
      </c>
      <c r="CE1205" t="s">
        <v>134</v>
      </c>
      <c r="CF1205" s="3">
        <v>46002</v>
      </c>
      <c r="CI1205">
        <v>1</v>
      </c>
      <c r="CJ1205">
        <v>1</v>
      </c>
      <c r="CK1205">
        <v>23</v>
      </c>
      <c r="CL1205" t="s">
        <v>87</v>
      </c>
    </row>
    <row r="1206" spans="1:90" x14ac:dyDescent="0.3">
      <c r="A1206" t="s">
        <v>72</v>
      </c>
      <c r="B1206" t="s">
        <v>73</v>
      </c>
      <c r="C1206" t="s">
        <v>74</v>
      </c>
      <c r="E1206" t="str">
        <f>"080069789050"</f>
        <v>080069789050</v>
      </c>
      <c r="F1206" s="3">
        <v>46000</v>
      </c>
      <c r="G1206">
        <v>202609</v>
      </c>
      <c r="H1206" t="s">
        <v>75</v>
      </c>
      <c r="I1206" t="s">
        <v>76</v>
      </c>
      <c r="J1206" t="s">
        <v>77</v>
      </c>
      <c r="K1206" t="s">
        <v>78</v>
      </c>
      <c r="L1206" t="s">
        <v>128</v>
      </c>
      <c r="M1206" t="s">
        <v>129</v>
      </c>
      <c r="N1206" t="s">
        <v>1943</v>
      </c>
      <c r="O1206" t="s">
        <v>89</v>
      </c>
      <c r="P1206" t="str">
        <f>"4170072611                    "</f>
        <v xml:space="preserve">4170072611                    </v>
      </c>
      <c r="Q1206">
        <v>0</v>
      </c>
      <c r="R1206">
        <v>0</v>
      </c>
      <c r="S1206">
        <v>0</v>
      </c>
      <c r="T1206">
        <v>0</v>
      </c>
      <c r="U1206">
        <v>0</v>
      </c>
      <c r="V1206">
        <v>0</v>
      </c>
      <c r="W1206">
        <v>0</v>
      </c>
      <c r="X1206">
        <v>0</v>
      </c>
      <c r="Y1206">
        <v>0</v>
      </c>
      <c r="Z1206">
        <v>0</v>
      </c>
      <c r="AA1206">
        <v>0</v>
      </c>
      <c r="AB1206">
        <v>0</v>
      </c>
      <c r="AC1206">
        <v>0</v>
      </c>
      <c r="AD1206">
        <v>0</v>
      </c>
      <c r="AE1206">
        <v>0</v>
      </c>
      <c r="AF1206">
        <v>0</v>
      </c>
      <c r="AG1206">
        <v>0</v>
      </c>
      <c r="AH1206">
        <v>0</v>
      </c>
      <c r="AI1206">
        <v>0</v>
      </c>
      <c r="AJ1206">
        <v>0</v>
      </c>
      <c r="AK1206">
        <v>0</v>
      </c>
      <c r="AL1206">
        <v>0</v>
      </c>
      <c r="AM1206">
        <v>0</v>
      </c>
      <c r="AN1206">
        <v>0</v>
      </c>
      <c r="AO1206">
        <v>0</v>
      </c>
      <c r="AP1206">
        <v>0</v>
      </c>
      <c r="AQ1206">
        <v>25.52</v>
      </c>
      <c r="AR1206">
        <v>0</v>
      </c>
      <c r="AS1206">
        <v>0</v>
      </c>
      <c r="AT1206">
        <v>0</v>
      </c>
      <c r="AU1206">
        <v>0</v>
      </c>
      <c r="AV1206">
        <v>0</v>
      </c>
      <c r="AW1206">
        <v>0</v>
      </c>
      <c r="AX1206">
        <v>0</v>
      </c>
      <c r="AY1206">
        <v>0</v>
      </c>
      <c r="AZ1206">
        <v>0</v>
      </c>
      <c r="BA1206">
        <v>0</v>
      </c>
      <c r="BB1206">
        <v>0</v>
      </c>
      <c r="BC1206">
        <v>0</v>
      </c>
      <c r="BD1206">
        <v>0</v>
      </c>
      <c r="BE1206">
        <v>0</v>
      </c>
      <c r="BF1206">
        <v>0</v>
      </c>
      <c r="BG1206">
        <v>0</v>
      </c>
      <c r="BH1206">
        <v>1</v>
      </c>
      <c r="BI1206">
        <v>1</v>
      </c>
      <c r="BJ1206">
        <v>0.2</v>
      </c>
      <c r="BK1206">
        <v>1</v>
      </c>
      <c r="BL1206">
        <v>76.06</v>
      </c>
      <c r="BM1206">
        <v>11.41</v>
      </c>
      <c r="BN1206">
        <v>87.47</v>
      </c>
      <c r="BO1206">
        <v>87.47</v>
      </c>
      <c r="BQ1206" t="s">
        <v>1944</v>
      </c>
      <c r="BR1206" t="s">
        <v>82</v>
      </c>
      <c r="BS1206" s="3">
        <v>46001</v>
      </c>
      <c r="BT1206" s="4">
        <v>0.49236111111111114</v>
      </c>
      <c r="BU1206" t="s">
        <v>1945</v>
      </c>
      <c r="BV1206" t="s">
        <v>84</v>
      </c>
      <c r="BY1206">
        <v>1200</v>
      </c>
      <c r="CA1206" t="s">
        <v>133</v>
      </c>
      <c r="CC1206" t="s">
        <v>129</v>
      </c>
      <c r="CD1206">
        <v>5201</v>
      </c>
      <c r="CE1206" t="s">
        <v>134</v>
      </c>
      <c r="CF1206" s="3">
        <v>46002</v>
      </c>
      <c r="CI1206">
        <v>5</v>
      </c>
      <c r="CJ1206">
        <v>1</v>
      </c>
      <c r="CK1206">
        <v>21</v>
      </c>
      <c r="CL1206" t="s">
        <v>87</v>
      </c>
    </row>
    <row r="1207" spans="1:90" x14ac:dyDescent="0.3">
      <c r="A1207" t="s">
        <v>72</v>
      </c>
      <c r="B1207" t="s">
        <v>73</v>
      </c>
      <c r="C1207" t="s">
        <v>74</v>
      </c>
      <c r="E1207" t="str">
        <f>"080069789314"</f>
        <v>080069789314</v>
      </c>
      <c r="F1207" s="3">
        <v>46000</v>
      </c>
      <c r="G1207">
        <v>202609</v>
      </c>
      <c r="H1207" t="s">
        <v>75</v>
      </c>
      <c r="I1207" t="s">
        <v>76</v>
      </c>
      <c r="J1207" t="s">
        <v>77</v>
      </c>
      <c r="K1207" t="s">
        <v>78</v>
      </c>
      <c r="L1207" t="s">
        <v>272</v>
      </c>
      <c r="M1207" t="s">
        <v>273</v>
      </c>
      <c r="N1207" t="s">
        <v>274</v>
      </c>
      <c r="O1207" t="s">
        <v>89</v>
      </c>
      <c r="P1207" t="str">
        <f>"4170072629                    "</f>
        <v xml:space="preserve">4170072629                    </v>
      </c>
      <c r="Q1207">
        <v>0</v>
      </c>
      <c r="R1207">
        <v>0</v>
      </c>
      <c r="S1207">
        <v>0</v>
      </c>
      <c r="T1207">
        <v>0</v>
      </c>
      <c r="U1207">
        <v>0</v>
      </c>
      <c r="V1207">
        <v>0</v>
      </c>
      <c r="W1207">
        <v>0</v>
      </c>
      <c r="X1207">
        <v>0</v>
      </c>
      <c r="Y1207">
        <v>0</v>
      </c>
      <c r="Z1207">
        <v>0</v>
      </c>
      <c r="AA1207">
        <v>0</v>
      </c>
      <c r="AB1207">
        <v>0</v>
      </c>
      <c r="AC1207">
        <v>0</v>
      </c>
      <c r="AD1207">
        <v>0</v>
      </c>
      <c r="AE1207">
        <v>0</v>
      </c>
      <c r="AF1207">
        <v>0</v>
      </c>
      <c r="AG1207">
        <v>0</v>
      </c>
      <c r="AH1207">
        <v>0</v>
      </c>
      <c r="AI1207">
        <v>0</v>
      </c>
      <c r="AJ1207">
        <v>0</v>
      </c>
      <c r="AK1207">
        <v>0</v>
      </c>
      <c r="AL1207">
        <v>0</v>
      </c>
      <c r="AM1207">
        <v>0</v>
      </c>
      <c r="AN1207">
        <v>0</v>
      </c>
      <c r="AO1207">
        <v>0</v>
      </c>
      <c r="AP1207">
        <v>0</v>
      </c>
      <c r="AQ1207">
        <v>76.55</v>
      </c>
      <c r="AR1207">
        <v>0</v>
      </c>
      <c r="AS1207">
        <v>0</v>
      </c>
      <c r="AT1207">
        <v>0</v>
      </c>
      <c r="AU1207">
        <v>0</v>
      </c>
      <c r="AV1207">
        <v>0</v>
      </c>
      <c r="AW1207">
        <v>0</v>
      </c>
      <c r="AX1207">
        <v>0</v>
      </c>
      <c r="AY1207">
        <v>0</v>
      </c>
      <c r="AZ1207">
        <v>0</v>
      </c>
      <c r="BA1207">
        <v>0</v>
      </c>
      <c r="BB1207">
        <v>0</v>
      </c>
      <c r="BC1207">
        <v>0</v>
      </c>
      <c r="BD1207">
        <v>0</v>
      </c>
      <c r="BE1207">
        <v>0</v>
      </c>
      <c r="BF1207">
        <v>0</v>
      </c>
      <c r="BG1207">
        <v>0</v>
      </c>
      <c r="BH1207">
        <v>1</v>
      </c>
      <c r="BI1207">
        <v>1.4</v>
      </c>
      <c r="BJ1207">
        <v>6</v>
      </c>
      <c r="BK1207">
        <v>6</v>
      </c>
      <c r="BL1207">
        <v>228.13</v>
      </c>
      <c r="BM1207">
        <v>34.22</v>
      </c>
      <c r="BN1207">
        <v>262.35000000000002</v>
      </c>
      <c r="BO1207">
        <v>262.35000000000002</v>
      </c>
      <c r="BQ1207" t="s">
        <v>275</v>
      </c>
      <c r="BR1207" t="s">
        <v>82</v>
      </c>
      <c r="BS1207" s="3">
        <v>46001</v>
      </c>
      <c r="BT1207" s="4">
        <v>0.42569444444444443</v>
      </c>
      <c r="BU1207" t="s">
        <v>1946</v>
      </c>
      <c r="BV1207" t="s">
        <v>84</v>
      </c>
      <c r="BY1207">
        <v>30031.200000000001</v>
      </c>
      <c r="CA1207" t="s">
        <v>1873</v>
      </c>
      <c r="CC1207" t="s">
        <v>273</v>
      </c>
      <c r="CD1207">
        <v>6220</v>
      </c>
      <c r="CE1207" t="s">
        <v>86</v>
      </c>
      <c r="CF1207" s="3">
        <v>46001</v>
      </c>
      <c r="CI1207">
        <v>1</v>
      </c>
      <c r="CJ1207">
        <v>1</v>
      </c>
      <c r="CK1207">
        <v>21</v>
      </c>
      <c r="CL1207" t="s">
        <v>87</v>
      </c>
    </row>
    <row r="1208" spans="1:90" x14ac:dyDescent="0.3">
      <c r="A1208" t="s">
        <v>72</v>
      </c>
      <c r="B1208" t="s">
        <v>73</v>
      </c>
      <c r="C1208" t="s">
        <v>74</v>
      </c>
      <c r="E1208" t="str">
        <f>"080069789345"</f>
        <v>080069789345</v>
      </c>
      <c r="F1208" s="3">
        <v>46000</v>
      </c>
      <c r="G1208">
        <v>202609</v>
      </c>
      <c r="H1208" t="s">
        <v>75</v>
      </c>
      <c r="I1208" t="s">
        <v>76</v>
      </c>
      <c r="J1208" t="s">
        <v>77</v>
      </c>
      <c r="K1208" t="s">
        <v>78</v>
      </c>
      <c r="L1208" t="s">
        <v>515</v>
      </c>
      <c r="M1208" t="s">
        <v>516</v>
      </c>
      <c r="N1208" t="s">
        <v>517</v>
      </c>
      <c r="O1208" t="s">
        <v>89</v>
      </c>
      <c r="P1208" t="str">
        <f>"4170072636                    "</f>
        <v xml:space="preserve">4170072636                    </v>
      </c>
      <c r="Q1208">
        <v>0</v>
      </c>
      <c r="R1208">
        <v>0</v>
      </c>
      <c r="S1208">
        <v>0</v>
      </c>
      <c r="T1208">
        <v>0</v>
      </c>
      <c r="U1208">
        <v>0</v>
      </c>
      <c r="V1208">
        <v>0</v>
      </c>
      <c r="W1208">
        <v>0</v>
      </c>
      <c r="X1208">
        <v>0</v>
      </c>
      <c r="Y1208">
        <v>0</v>
      </c>
      <c r="Z1208">
        <v>0</v>
      </c>
      <c r="AA1208">
        <v>0</v>
      </c>
      <c r="AB1208">
        <v>0</v>
      </c>
      <c r="AC1208">
        <v>0</v>
      </c>
      <c r="AD1208">
        <v>0</v>
      </c>
      <c r="AE1208">
        <v>0</v>
      </c>
      <c r="AF1208">
        <v>0</v>
      </c>
      <c r="AG1208">
        <v>0</v>
      </c>
      <c r="AH1208">
        <v>0</v>
      </c>
      <c r="AI1208">
        <v>0</v>
      </c>
      <c r="AJ1208">
        <v>0</v>
      </c>
      <c r="AK1208">
        <v>0</v>
      </c>
      <c r="AL1208">
        <v>0</v>
      </c>
      <c r="AM1208">
        <v>0</v>
      </c>
      <c r="AN1208">
        <v>0</v>
      </c>
      <c r="AO1208">
        <v>0</v>
      </c>
      <c r="AP1208">
        <v>0</v>
      </c>
      <c r="AQ1208">
        <v>49.45</v>
      </c>
      <c r="AR1208">
        <v>0</v>
      </c>
      <c r="AS1208">
        <v>0</v>
      </c>
      <c r="AT1208">
        <v>0</v>
      </c>
      <c r="AU1208">
        <v>0</v>
      </c>
      <c r="AV1208">
        <v>0</v>
      </c>
      <c r="AW1208">
        <v>0</v>
      </c>
      <c r="AX1208">
        <v>0</v>
      </c>
      <c r="AY1208">
        <v>0</v>
      </c>
      <c r="AZ1208">
        <v>0</v>
      </c>
      <c r="BA1208">
        <v>0</v>
      </c>
      <c r="BB1208">
        <v>0</v>
      </c>
      <c r="BC1208">
        <v>0</v>
      </c>
      <c r="BD1208">
        <v>0</v>
      </c>
      <c r="BE1208">
        <v>0</v>
      </c>
      <c r="BF1208">
        <v>0</v>
      </c>
      <c r="BG1208">
        <v>0</v>
      </c>
      <c r="BH1208">
        <v>1</v>
      </c>
      <c r="BI1208">
        <v>1</v>
      </c>
      <c r="BJ1208">
        <v>0.2</v>
      </c>
      <c r="BK1208">
        <v>1</v>
      </c>
      <c r="BL1208">
        <v>147.38</v>
      </c>
      <c r="BM1208">
        <v>22.11</v>
      </c>
      <c r="BN1208">
        <v>169.49</v>
      </c>
      <c r="BO1208">
        <v>169.49</v>
      </c>
      <c r="BQ1208" t="s">
        <v>518</v>
      </c>
      <c r="BR1208" t="s">
        <v>82</v>
      </c>
      <c r="BS1208" s="3">
        <v>46002</v>
      </c>
      <c r="BT1208" s="4">
        <v>0.62708333333333333</v>
      </c>
      <c r="BU1208" t="s">
        <v>1947</v>
      </c>
      <c r="BV1208" t="s">
        <v>87</v>
      </c>
      <c r="BW1208" t="s">
        <v>1476</v>
      </c>
      <c r="BX1208" t="s">
        <v>270</v>
      </c>
      <c r="BY1208">
        <v>1200</v>
      </c>
      <c r="CC1208" t="s">
        <v>516</v>
      </c>
      <c r="CD1208">
        <v>6300</v>
      </c>
      <c r="CE1208" t="s">
        <v>134</v>
      </c>
      <c r="CI1208">
        <v>2</v>
      </c>
      <c r="CJ1208">
        <v>2</v>
      </c>
      <c r="CK1208">
        <v>23</v>
      </c>
      <c r="CL1208" t="s">
        <v>87</v>
      </c>
    </row>
    <row r="1209" spans="1:90" x14ac:dyDescent="0.3">
      <c r="A1209" t="s">
        <v>72</v>
      </c>
      <c r="B1209" t="s">
        <v>73</v>
      </c>
      <c r="C1209" t="s">
        <v>74</v>
      </c>
      <c r="E1209" t="str">
        <f>"080069789384"</f>
        <v>080069789384</v>
      </c>
      <c r="F1209" s="3">
        <v>46000</v>
      </c>
      <c r="G1209">
        <v>202609</v>
      </c>
      <c r="H1209" t="s">
        <v>75</v>
      </c>
      <c r="I1209" t="s">
        <v>76</v>
      </c>
      <c r="J1209" t="s">
        <v>77</v>
      </c>
      <c r="K1209" t="s">
        <v>78</v>
      </c>
      <c r="L1209" t="s">
        <v>148</v>
      </c>
      <c r="M1209" t="s">
        <v>149</v>
      </c>
      <c r="N1209" t="s">
        <v>150</v>
      </c>
      <c r="O1209" t="s">
        <v>89</v>
      </c>
      <c r="P1209" t="str">
        <f>"4170072723                    "</f>
        <v xml:space="preserve">4170072723                    </v>
      </c>
      <c r="Q1209">
        <v>0</v>
      </c>
      <c r="R1209">
        <v>0</v>
      </c>
      <c r="S1209">
        <v>0</v>
      </c>
      <c r="T1209">
        <v>0</v>
      </c>
      <c r="U1209">
        <v>0</v>
      </c>
      <c r="V1209">
        <v>0</v>
      </c>
      <c r="W1209">
        <v>0</v>
      </c>
      <c r="X1209">
        <v>0</v>
      </c>
      <c r="Y1209">
        <v>0</v>
      </c>
      <c r="Z1209">
        <v>0</v>
      </c>
      <c r="AA1209">
        <v>0</v>
      </c>
      <c r="AB1209">
        <v>0</v>
      </c>
      <c r="AC1209">
        <v>0</v>
      </c>
      <c r="AD1209">
        <v>0</v>
      </c>
      <c r="AE1209">
        <v>0</v>
      </c>
      <c r="AF1209">
        <v>0</v>
      </c>
      <c r="AG1209">
        <v>0</v>
      </c>
      <c r="AH1209">
        <v>0</v>
      </c>
      <c r="AI1209">
        <v>0</v>
      </c>
      <c r="AJ1209">
        <v>0</v>
      </c>
      <c r="AK1209">
        <v>0</v>
      </c>
      <c r="AL1209">
        <v>0</v>
      </c>
      <c r="AM1209">
        <v>0</v>
      </c>
      <c r="AN1209">
        <v>0</v>
      </c>
      <c r="AO1209">
        <v>0</v>
      </c>
      <c r="AP1209">
        <v>0</v>
      </c>
      <c r="AQ1209">
        <v>49.45</v>
      </c>
      <c r="AR1209">
        <v>0</v>
      </c>
      <c r="AS1209">
        <v>0</v>
      </c>
      <c r="AT1209">
        <v>0</v>
      </c>
      <c r="AU1209">
        <v>0</v>
      </c>
      <c r="AV1209">
        <v>0</v>
      </c>
      <c r="AW1209">
        <v>0</v>
      </c>
      <c r="AX1209">
        <v>0</v>
      </c>
      <c r="AY1209">
        <v>0</v>
      </c>
      <c r="AZ1209">
        <v>0</v>
      </c>
      <c r="BA1209">
        <v>0</v>
      </c>
      <c r="BB1209">
        <v>0</v>
      </c>
      <c r="BC1209">
        <v>0</v>
      </c>
      <c r="BD1209">
        <v>0</v>
      </c>
      <c r="BE1209">
        <v>0</v>
      </c>
      <c r="BF1209">
        <v>0</v>
      </c>
      <c r="BG1209">
        <v>0</v>
      </c>
      <c r="BH1209">
        <v>1</v>
      </c>
      <c r="BI1209">
        <v>1</v>
      </c>
      <c r="BJ1209">
        <v>0.2</v>
      </c>
      <c r="BK1209">
        <v>1</v>
      </c>
      <c r="BL1209">
        <v>147.38</v>
      </c>
      <c r="BM1209">
        <v>22.11</v>
      </c>
      <c r="BN1209">
        <v>169.49</v>
      </c>
      <c r="BO1209">
        <v>169.49</v>
      </c>
      <c r="BQ1209" t="s">
        <v>1550</v>
      </c>
      <c r="BR1209" t="s">
        <v>82</v>
      </c>
      <c r="BS1209" s="3">
        <v>46001</v>
      </c>
      <c r="BT1209" s="4">
        <v>0.65069444444444446</v>
      </c>
      <c r="BU1209" t="s">
        <v>152</v>
      </c>
      <c r="BV1209" t="s">
        <v>84</v>
      </c>
      <c r="BY1209">
        <v>1200</v>
      </c>
      <c r="CA1209" t="s">
        <v>155</v>
      </c>
      <c r="CC1209" t="s">
        <v>149</v>
      </c>
      <c r="CD1209">
        <v>7299</v>
      </c>
      <c r="CE1209" t="s">
        <v>134</v>
      </c>
      <c r="CF1209" s="3">
        <v>46002</v>
      </c>
      <c r="CI1209">
        <v>1</v>
      </c>
      <c r="CJ1209">
        <v>1</v>
      </c>
      <c r="CK1209">
        <v>23</v>
      </c>
      <c r="CL1209" t="s">
        <v>87</v>
      </c>
    </row>
    <row r="1210" spans="1:90" x14ac:dyDescent="0.3">
      <c r="A1210" t="s">
        <v>72</v>
      </c>
      <c r="B1210" t="s">
        <v>73</v>
      </c>
      <c r="C1210" t="s">
        <v>74</v>
      </c>
      <c r="E1210" t="str">
        <f>"080069789388"</f>
        <v>080069789388</v>
      </c>
      <c r="F1210" s="3">
        <v>46000</v>
      </c>
      <c r="G1210">
        <v>202609</v>
      </c>
      <c r="H1210" t="s">
        <v>75</v>
      </c>
      <c r="I1210" t="s">
        <v>76</v>
      </c>
      <c r="J1210" t="s">
        <v>77</v>
      </c>
      <c r="K1210" t="s">
        <v>78</v>
      </c>
      <c r="L1210" t="s">
        <v>100</v>
      </c>
      <c r="M1210" t="s">
        <v>101</v>
      </c>
      <c r="N1210" t="s">
        <v>1153</v>
      </c>
      <c r="O1210" t="s">
        <v>89</v>
      </c>
      <c r="P1210" t="str">
        <f>"4170072628                    "</f>
        <v xml:space="preserve">4170072628                    </v>
      </c>
      <c r="Q1210">
        <v>0</v>
      </c>
      <c r="R1210">
        <v>0</v>
      </c>
      <c r="S1210">
        <v>0</v>
      </c>
      <c r="T1210">
        <v>0</v>
      </c>
      <c r="U1210">
        <v>0</v>
      </c>
      <c r="V1210">
        <v>0</v>
      </c>
      <c r="W1210">
        <v>0</v>
      </c>
      <c r="X1210">
        <v>0</v>
      </c>
      <c r="Y1210">
        <v>0</v>
      </c>
      <c r="Z1210">
        <v>0</v>
      </c>
      <c r="AA1210">
        <v>0</v>
      </c>
      <c r="AB1210">
        <v>0</v>
      </c>
      <c r="AC1210">
        <v>0</v>
      </c>
      <c r="AD1210">
        <v>0</v>
      </c>
      <c r="AE1210">
        <v>0</v>
      </c>
      <c r="AF1210">
        <v>0</v>
      </c>
      <c r="AG1210">
        <v>0</v>
      </c>
      <c r="AH1210">
        <v>0</v>
      </c>
      <c r="AI1210">
        <v>0</v>
      </c>
      <c r="AJ1210">
        <v>0</v>
      </c>
      <c r="AK1210">
        <v>0</v>
      </c>
      <c r="AL1210">
        <v>0</v>
      </c>
      <c r="AM1210">
        <v>0</v>
      </c>
      <c r="AN1210">
        <v>0</v>
      </c>
      <c r="AO1210">
        <v>0</v>
      </c>
      <c r="AP1210">
        <v>0</v>
      </c>
      <c r="AQ1210">
        <v>25.52</v>
      </c>
      <c r="AR1210">
        <v>0</v>
      </c>
      <c r="AS1210">
        <v>0</v>
      </c>
      <c r="AT1210">
        <v>0</v>
      </c>
      <c r="AU1210">
        <v>0</v>
      </c>
      <c r="AV1210">
        <v>0</v>
      </c>
      <c r="AW1210">
        <v>0</v>
      </c>
      <c r="AX1210">
        <v>0</v>
      </c>
      <c r="AY1210">
        <v>0</v>
      </c>
      <c r="AZ1210">
        <v>0</v>
      </c>
      <c r="BA1210">
        <v>0</v>
      </c>
      <c r="BB1210">
        <v>0</v>
      </c>
      <c r="BC1210">
        <v>0</v>
      </c>
      <c r="BD1210">
        <v>0</v>
      </c>
      <c r="BE1210">
        <v>0</v>
      </c>
      <c r="BF1210">
        <v>0</v>
      </c>
      <c r="BG1210">
        <v>0</v>
      </c>
      <c r="BH1210">
        <v>1</v>
      </c>
      <c r="BI1210">
        <v>1.2</v>
      </c>
      <c r="BJ1210">
        <v>1.5</v>
      </c>
      <c r="BK1210">
        <v>1.5</v>
      </c>
      <c r="BL1210">
        <v>76.06</v>
      </c>
      <c r="BM1210">
        <v>11.41</v>
      </c>
      <c r="BN1210">
        <v>87.47</v>
      </c>
      <c r="BO1210">
        <v>87.47</v>
      </c>
      <c r="BQ1210" t="s">
        <v>1154</v>
      </c>
      <c r="BR1210" t="s">
        <v>82</v>
      </c>
      <c r="BS1210" s="3">
        <v>46001</v>
      </c>
      <c r="BT1210" s="4">
        <v>0.43680555555555556</v>
      </c>
      <c r="BU1210" t="s">
        <v>1948</v>
      </c>
      <c r="BV1210" t="s">
        <v>84</v>
      </c>
      <c r="BY1210">
        <v>7545.6</v>
      </c>
      <c r="CA1210" t="s">
        <v>1949</v>
      </c>
      <c r="CC1210" t="s">
        <v>101</v>
      </c>
      <c r="CD1210">
        <v>4052</v>
      </c>
      <c r="CE1210" t="s">
        <v>86</v>
      </c>
      <c r="CF1210" s="3">
        <v>46002</v>
      </c>
      <c r="CI1210">
        <v>1</v>
      </c>
      <c r="CJ1210">
        <v>1</v>
      </c>
      <c r="CK1210">
        <v>21</v>
      </c>
      <c r="CL1210" t="s">
        <v>87</v>
      </c>
    </row>
    <row r="1211" spans="1:90" x14ac:dyDescent="0.3">
      <c r="A1211" t="s">
        <v>72</v>
      </c>
      <c r="B1211" t="s">
        <v>73</v>
      </c>
      <c r="C1211" t="s">
        <v>74</v>
      </c>
      <c r="E1211" t="str">
        <f>"080069789431"</f>
        <v>080069789431</v>
      </c>
      <c r="F1211" s="3">
        <v>46000</v>
      </c>
      <c r="G1211">
        <v>202609</v>
      </c>
      <c r="H1211" t="s">
        <v>75</v>
      </c>
      <c r="I1211" t="s">
        <v>76</v>
      </c>
      <c r="J1211" t="s">
        <v>77</v>
      </c>
      <c r="K1211" t="s">
        <v>78</v>
      </c>
      <c r="L1211" t="s">
        <v>156</v>
      </c>
      <c r="M1211" t="s">
        <v>157</v>
      </c>
      <c r="N1211" t="s">
        <v>261</v>
      </c>
      <c r="O1211" t="s">
        <v>89</v>
      </c>
      <c r="P1211" t="str">
        <f>"4170072687                    "</f>
        <v xml:space="preserve">4170072687                    </v>
      </c>
      <c r="Q1211">
        <v>0</v>
      </c>
      <c r="R1211">
        <v>0</v>
      </c>
      <c r="S1211">
        <v>0</v>
      </c>
      <c r="T1211">
        <v>0</v>
      </c>
      <c r="U1211">
        <v>0</v>
      </c>
      <c r="V1211">
        <v>0</v>
      </c>
      <c r="W1211">
        <v>0</v>
      </c>
      <c r="X1211">
        <v>0</v>
      </c>
      <c r="Y1211">
        <v>0</v>
      </c>
      <c r="Z1211">
        <v>0</v>
      </c>
      <c r="AA1211">
        <v>0</v>
      </c>
      <c r="AB1211">
        <v>0</v>
      </c>
      <c r="AC1211">
        <v>0</v>
      </c>
      <c r="AD1211">
        <v>0</v>
      </c>
      <c r="AE1211">
        <v>0</v>
      </c>
      <c r="AF1211">
        <v>0</v>
      </c>
      <c r="AG1211">
        <v>0</v>
      </c>
      <c r="AH1211">
        <v>0</v>
      </c>
      <c r="AI1211">
        <v>0</v>
      </c>
      <c r="AJ1211">
        <v>0</v>
      </c>
      <c r="AK1211">
        <v>0</v>
      </c>
      <c r="AL1211">
        <v>0</v>
      </c>
      <c r="AM1211">
        <v>0</v>
      </c>
      <c r="AN1211">
        <v>0</v>
      </c>
      <c r="AO1211">
        <v>0</v>
      </c>
      <c r="AP1211">
        <v>0</v>
      </c>
      <c r="AQ1211">
        <v>25.52</v>
      </c>
      <c r="AR1211">
        <v>0</v>
      </c>
      <c r="AS1211">
        <v>0</v>
      </c>
      <c r="AT1211">
        <v>0</v>
      </c>
      <c r="AU1211">
        <v>0</v>
      </c>
      <c r="AV1211">
        <v>0</v>
      </c>
      <c r="AW1211">
        <v>0</v>
      </c>
      <c r="AX1211">
        <v>0</v>
      </c>
      <c r="AY1211">
        <v>0</v>
      </c>
      <c r="AZ1211">
        <v>0</v>
      </c>
      <c r="BA1211">
        <v>0</v>
      </c>
      <c r="BB1211">
        <v>0</v>
      </c>
      <c r="BC1211">
        <v>0</v>
      </c>
      <c r="BD1211">
        <v>0</v>
      </c>
      <c r="BE1211">
        <v>0</v>
      </c>
      <c r="BF1211">
        <v>0</v>
      </c>
      <c r="BG1211">
        <v>0</v>
      </c>
      <c r="BH1211">
        <v>1</v>
      </c>
      <c r="BI1211">
        <v>1</v>
      </c>
      <c r="BJ1211">
        <v>0.2</v>
      </c>
      <c r="BK1211">
        <v>1</v>
      </c>
      <c r="BL1211">
        <v>76.06</v>
      </c>
      <c r="BM1211">
        <v>11.41</v>
      </c>
      <c r="BN1211">
        <v>87.47</v>
      </c>
      <c r="BO1211">
        <v>87.47</v>
      </c>
      <c r="BQ1211" t="s">
        <v>262</v>
      </c>
      <c r="BR1211" t="s">
        <v>82</v>
      </c>
      <c r="BS1211" s="3">
        <v>46002</v>
      </c>
      <c r="BT1211" s="4">
        <v>0.41041666666666665</v>
      </c>
      <c r="BU1211" t="s">
        <v>1210</v>
      </c>
      <c r="BV1211" t="s">
        <v>87</v>
      </c>
      <c r="BW1211" t="s">
        <v>153</v>
      </c>
      <c r="BX1211" t="s">
        <v>996</v>
      </c>
      <c r="BY1211">
        <v>1200</v>
      </c>
      <c r="CA1211" t="s">
        <v>264</v>
      </c>
      <c r="CC1211" t="s">
        <v>157</v>
      </c>
      <c r="CD1211">
        <v>7441</v>
      </c>
      <c r="CE1211" t="s">
        <v>134</v>
      </c>
      <c r="CF1211" s="3">
        <v>46003</v>
      </c>
      <c r="CI1211">
        <v>1</v>
      </c>
      <c r="CJ1211">
        <v>2</v>
      </c>
      <c r="CK1211">
        <v>21</v>
      </c>
      <c r="CL1211" t="s">
        <v>87</v>
      </c>
    </row>
    <row r="1212" spans="1:90" x14ac:dyDescent="0.3">
      <c r="A1212" t="s">
        <v>72</v>
      </c>
      <c r="B1212" t="s">
        <v>73</v>
      </c>
      <c r="C1212" t="s">
        <v>74</v>
      </c>
      <c r="E1212" t="str">
        <f>"080069789461"</f>
        <v>080069789461</v>
      </c>
      <c r="F1212" s="3">
        <v>46000</v>
      </c>
      <c r="G1212">
        <v>202609</v>
      </c>
      <c r="H1212" t="s">
        <v>75</v>
      </c>
      <c r="I1212" t="s">
        <v>76</v>
      </c>
      <c r="J1212" t="s">
        <v>77</v>
      </c>
      <c r="K1212" t="s">
        <v>78</v>
      </c>
      <c r="L1212" t="s">
        <v>465</v>
      </c>
      <c r="M1212" t="s">
        <v>466</v>
      </c>
      <c r="N1212" t="s">
        <v>1950</v>
      </c>
      <c r="O1212" t="s">
        <v>89</v>
      </c>
      <c r="P1212" t="str">
        <f>"4170072732                    "</f>
        <v xml:space="preserve">4170072732                    </v>
      </c>
      <c r="Q1212">
        <v>0</v>
      </c>
      <c r="R1212">
        <v>0</v>
      </c>
      <c r="S1212">
        <v>0</v>
      </c>
      <c r="T1212">
        <v>0</v>
      </c>
      <c r="U1212">
        <v>0</v>
      </c>
      <c r="V1212">
        <v>0</v>
      </c>
      <c r="W1212">
        <v>0</v>
      </c>
      <c r="X1212">
        <v>0</v>
      </c>
      <c r="Y1212">
        <v>0</v>
      </c>
      <c r="Z1212">
        <v>0</v>
      </c>
      <c r="AA1212">
        <v>0</v>
      </c>
      <c r="AB1212">
        <v>0</v>
      </c>
      <c r="AC1212">
        <v>0</v>
      </c>
      <c r="AD1212">
        <v>0</v>
      </c>
      <c r="AE1212">
        <v>0</v>
      </c>
      <c r="AF1212">
        <v>0</v>
      </c>
      <c r="AG1212">
        <v>0</v>
      </c>
      <c r="AH1212">
        <v>0</v>
      </c>
      <c r="AI1212">
        <v>0</v>
      </c>
      <c r="AJ1212">
        <v>0</v>
      </c>
      <c r="AK1212">
        <v>0</v>
      </c>
      <c r="AL1212">
        <v>0</v>
      </c>
      <c r="AM1212">
        <v>0</v>
      </c>
      <c r="AN1212">
        <v>0</v>
      </c>
      <c r="AO1212">
        <v>0</v>
      </c>
      <c r="AP1212">
        <v>0</v>
      </c>
      <c r="AQ1212">
        <v>19.940000000000001</v>
      </c>
      <c r="AR1212">
        <v>0</v>
      </c>
      <c r="AS1212">
        <v>0</v>
      </c>
      <c r="AT1212">
        <v>0</v>
      </c>
      <c r="AU1212">
        <v>0</v>
      </c>
      <c r="AV1212">
        <v>0</v>
      </c>
      <c r="AW1212">
        <v>0</v>
      </c>
      <c r="AX1212">
        <v>0</v>
      </c>
      <c r="AY1212">
        <v>0</v>
      </c>
      <c r="AZ1212">
        <v>0</v>
      </c>
      <c r="BA1212">
        <v>0</v>
      </c>
      <c r="BB1212">
        <v>0</v>
      </c>
      <c r="BC1212">
        <v>0</v>
      </c>
      <c r="BD1212">
        <v>0</v>
      </c>
      <c r="BE1212">
        <v>0</v>
      </c>
      <c r="BF1212">
        <v>0</v>
      </c>
      <c r="BG1212">
        <v>0</v>
      </c>
      <c r="BH1212">
        <v>1</v>
      </c>
      <c r="BI1212">
        <v>2</v>
      </c>
      <c r="BJ1212">
        <v>1.4</v>
      </c>
      <c r="BK1212">
        <v>2</v>
      </c>
      <c r="BL1212">
        <v>59.42</v>
      </c>
      <c r="BM1212">
        <v>8.91</v>
      </c>
      <c r="BN1212">
        <v>68.33</v>
      </c>
      <c r="BO1212">
        <v>68.33</v>
      </c>
      <c r="BQ1212" t="s">
        <v>1951</v>
      </c>
      <c r="BR1212" t="s">
        <v>82</v>
      </c>
      <c r="BS1212" s="3">
        <v>46001</v>
      </c>
      <c r="BT1212" s="4">
        <v>0.40625</v>
      </c>
      <c r="BU1212" t="s">
        <v>1952</v>
      </c>
      <c r="BV1212" t="s">
        <v>84</v>
      </c>
      <c r="BY1212">
        <v>7000</v>
      </c>
      <c r="CA1212" t="s">
        <v>727</v>
      </c>
      <c r="CC1212" t="s">
        <v>466</v>
      </c>
      <c r="CD1212">
        <v>1428</v>
      </c>
      <c r="CE1212" t="s">
        <v>86</v>
      </c>
      <c r="CF1212" s="3">
        <v>46002</v>
      </c>
      <c r="CI1212">
        <v>1</v>
      </c>
      <c r="CJ1212">
        <v>1</v>
      </c>
      <c r="CK1212">
        <v>22</v>
      </c>
      <c r="CL1212" t="s">
        <v>87</v>
      </c>
    </row>
    <row r="1213" spans="1:90" x14ac:dyDescent="0.3">
      <c r="A1213" t="s">
        <v>72</v>
      </c>
      <c r="B1213" t="s">
        <v>73</v>
      </c>
      <c r="C1213" t="s">
        <v>74</v>
      </c>
      <c r="E1213" t="str">
        <f>"080069789474"</f>
        <v>080069789474</v>
      </c>
      <c r="F1213" s="3">
        <v>46000</v>
      </c>
      <c r="G1213">
        <v>202609</v>
      </c>
      <c r="H1213" t="s">
        <v>75</v>
      </c>
      <c r="I1213" t="s">
        <v>76</v>
      </c>
      <c r="J1213" t="s">
        <v>77</v>
      </c>
      <c r="K1213" t="s">
        <v>78</v>
      </c>
      <c r="L1213" t="s">
        <v>75</v>
      </c>
      <c r="M1213" t="s">
        <v>76</v>
      </c>
      <c r="N1213" t="s">
        <v>385</v>
      </c>
      <c r="O1213" t="s">
        <v>89</v>
      </c>
      <c r="P1213" t="str">
        <f>"4170072625                    "</f>
        <v xml:space="preserve">4170072625                    </v>
      </c>
      <c r="Q1213">
        <v>0</v>
      </c>
      <c r="R1213">
        <v>0</v>
      </c>
      <c r="S1213">
        <v>0</v>
      </c>
      <c r="T1213">
        <v>0</v>
      </c>
      <c r="U1213">
        <v>0</v>
      </c>
      <c r="V1213">
        <v>0</v>
      </c>
      <c r="W1213">
        <v>0</v>
      </c>
      <c r="X1213">
        <v>0</v>
      </c>
      <c r="Y1213">
        <v>0</v>
      </c>
      <c r="Z1213">
        <v>0</v>
      </c>
      <c r="AA1213">
        <v>0</v>
      </c>
      <c r="AB1213">
        <v>0</v>
      </c>
      <c r="AC1213">
        <v>0</v>
      </c>
      <c r="AD1213">
        <v>0</v>
      </c>
      <c r="AE1213">
        <v>0</v>
      </c>
      <c r="AF1213">
        <v>0</v>
      </c>
      <c r="AG1213">
        <v>0</v>
      </c>
      <c r="AH1213">
        <v>0</v>
      </c>
      <c r="AI1213">
        <v>0</v>
      </c>
      <c r="AJ1213">
        <v>0</v>
      </c>
      <c r="AK1213">
        <v>0</v>
      </c>
      <c r="AL1213">
        <v>0</v>
      </c>
      <c r="AM1213">
        <v>0</v>
      </c>
      <c r="AN1213">
        <v>0</v>
      </c>
      <c r="AO1213">
        <v>0</v>
      </c>
      <c r="AP1213">
        <v>0</v>
      </c>
      <c r="AQ1213">
        <v>19.940000000000001</v>
      </c>
      <c r="AR1213">
        <v>0</v>
      </c>
      <c r="AS1213">
        <v>0</v>
      </c>
      <c r="AT1213">
        <v>0</v>
      </c>
      <c r="AU1213">
        <v>0</v>
      </c>
      <c r="AV1213">
        <v>0</v>
      </c>
      <c r="AW1213">
        <v>0</v>
      </c>
      <c r="AX1213">
        <v>0</v>
      </c>
      <c r="AY1213">
        <v>0</v>
      </c>
      <c r="AZ1213">
        <v>0</v>
      </c>
      <c r="BA1213">
        <v>0</v>
      </c>
      <c r="BB1213">
        <v>0</v>
      </c>
      <c r="BC1213">
        <v>0</v>
      </c>
      <c r="BD1213">
        <v>0</v>
      </c>
      <c r="BE1213">
        <v>0</v>
      </c>
      <c r="BF1213">
        <v>0</v>
      </c>
      <c r="BG1213">
        <v>0</v>
      </c>
      <c r="BH1213">
        <v>1</v>
      </c>
      <c r="BI1213">
        <v>1</v>
      </c>
      <c r="BJ1213">
        <v>0.2</v>
      </c>
      <c r="BK1213">
        <v>1</v>
      </c>
      <c r="BL1213">
        <v>59.42</v>
      </c>
      <c r="BM1213">
        <v>8.91</v>
      </c>
      <c r="BN1213">
        <v>68.33</v>
      </c>
      <c r="BO1213">
        <v>68.33</v>
      </c>
      <c r="BQ1213" t="s">
        <v>386</v>
      </c>
      <c r="BR1213" t="s">
        <v>82</v>
      </c>
      <c r="BS1213" s="3">
        <v>46001</v>
      </c>
      <c r="BT1213" s="4">
        <v>0.34097222222222223</v>
      </c>
      <c r="BU1213" t="s">
        <v>1953</v>
      </c>
      <c r="BV1213" t="s">
        <v>84</v>
      </c>
      <c r="BY1213">
        <v>1200</v>
      </c>
      <c r="CA1213" t="s">
        <v>1954</v>
      </c>
      <c r="CC1213" t="s">
        <v>76</v>
      </c>
      <c r="CD1213">
        <v>1601</v>
      </c>
      <c r="CE1213" t="s">
        <v>134</v>
      </c>
      <c r="CF1213" s="3">
        <v>46001</v>
      </c>
      <c r="CI1213">
        <v>1</v>
      </c>
      <c r="CJ1213">
        <v>1</v>
      </c>
      <c r="CK1213">
        <v>22</v>
      </c>
      <c r="CL1213" t="s">
        <v>87</v>
      </c>
    </row>
    <row r="1214" spans="1:90" x14ac:dyDescent="0.3">
      <c r="A1214" t="s">
        <v>72</v>
      </c>
      <c r="B1214" t="s">
        <v>73</v>
      </c>
      <c r="C1214" t="s">
        <v>74</v>
      </c>
      <c r="E1214" t="str">
        <f>"080069789511"</f>
        <v>080069789511</v>
      </c>
      <c r="F1214" s="3">
        <v>46000</v>
      </c>
      <c r="G1214">
        <v>202609</v>
      </c>
      <c r="H1214" t="s">
        <v>75</v>
      </c>
      <c r="I1214" t="s">
        <v>76</v>
      </c>
      <c r="J1214" t="s">
        <v>77</v>
      </c>
      <c r="K1214" t="s">
        <v>78</v>
      </c>
      <c r="L1214" t="s">
        <v>100</v>
      </c>
      <c r="M1214" t="s">
        <v>101</v>
      </c>
      <c r="N1214" t="s">
        <v>166</v>
      </c>
      <c r="O1214" t="s">
        <v>89</v>
      </c>
      <c r="P1214" t="str">
        <f>"4170072724                    "</f>
        <v xml:space="preserve">4170072724                    </v>
      </c>
      <c r="Q1214">
        <v>0</v>
      </c>
      <c r="R1214">
        <v>0</v>
      </c>
      <c r="S1214">
        <v>0</v>
      </c>
      <c r="T1214">
        <v>0</v>
      </c>
      <c r="U1214">
        <v>0</v>
      </c>
      <c r="V1214">
        <v>0</v>
      </c>
      <c r="W1214">
        <v>0</v>
      </c>
      <c r="X1214">
        <v>0</v>
      </c>
      <c r="Y1214">
        <v>0</v>
      </c>
      <c r="Z1214">
        <v>0</v>
      </c>
      <c r="AA1214">
        <v>0</v>
      </c>
      <c r="AB1214">
        <v>0</v>
      </c>
      <c r="AC1214">
        <v>0</v>
      </c>
      <c r="AD1214">
        <v>0</v>
      </c>
      <c r="AE1214">
        <v>0</v>
      </c>
      <c r="AF1214">
        <v>0</v>
      </c>
      <c r="AG1214">
        <v>0</v>
      </c>
      <c r="AH1214">
        <v>0</v>
      </c>
      <c r="AI1214">
        <v>0</v>
      </c>
      <c r="AJ1214">
        <v>0</v>
      </c>
      <c r="AK1214">
        <v>0</v>
      </c>
      <c r="AL1214">
        <v>0</v>
      </c>
      <c r="AM1214">
        <v>0</v>
      </c>
      <c r="AN1214">
        <v>0</v>
      </c>
      <c r="AO1214">
        <v>0</v>
      </c>
      <c r="AP1214">
        <v>0</v>
      </c>
      <c r="AQ1214">
        <v>25.52</v>
      </c>
      <c r="AR1214">
        <v>0</v>
      </c>
      <c r="AS1214">
        <v>0</v>
      </c>
      <c r="AT1214">
        <v>0</v>
      </c>
      <c r="AU1214">
        <v>0</v>
      </c>
      <c r="AV1214">
        <v>0</v>
      </c>
      <c r="AW1214">
        <v>0</v>
      </c>
      <c r="AX1214">
        <v>0</v>
      </c>
      <c r="AY1214">
        <v>0</v>
      </c>
      <c r="AZ1214">
        <v>0</v>
      </c>
      <c r="BA1214">
        <v>0</v>
      </c>
      <c r="BB1214">
        <v>0</v>
      </c>
      <c r="BC1214">
        <v>0</v>
      </c>
      <c r="BD1214">
        <v>0</v>
      </c>
      <c r="BE1214">
        <v>0</v>
      </c>
      <c r="BF1214">
        <v>0</v>
      </c>
      <c r="BG1214">
        <v>0</v>
      </c>
      <c r="BH1214">
        <v>1</v>
      </c>
      <c r="BI1214">
        <v>1</v>
      </c>
      <c r="BJ1214">
        <v>0.2</v>
      </c>
      <c r="BK1214">
        <v>1</v>
      </c>
      <c r="BL1214">
        <v>76.06</v>
      </c>
      <c r="BM1214">
        <v>11.41</v>
      </c>
      <c r="BN1214">
        <v>87.47</v>
      </c>
      <c r="BO1214">
        <v>87.47</v>
      </c>
      <c r="BQ1214" t="s">
        <v>167</v>
      </c>
      <c r="BR1214" t="s">
        <v>82</v>
      </c>
      <c r="BS1214" s="3">
        <v>46001</v>
      </c>
      <c r="BT1214" s="4">
        <v>0.42638888888888887</v>
      </c>
      <c r="BU1214" t="s">
        <v>644</v>
      </c>
      <c r="BV1214" t="s">
        <v>84</v>
      </c>
      <c r="BY1214">
        <v>1200</v>
      </c>
      <c r="CA1214" t="s">
        <v>929</v>
      </c>
      <c r="CC1214" t="s">
        <v>101</v>
      </c>
      <c r="CD1214">
        <v>4000</v>
      </c>
      <c r="CE1214" t="s">
        <v>134</v>
      </c>
      <c r="CF1214" s="3">
        <v>46001</v>
      </c>
      <c r="CI1214">
        <v>1</v>
      </c>
      <c r="CJ1214">
        <v>1</v>
      </c>
      <c r="CK1214">
        <v>21</v>
      </c>
      <c r="CL1214" t="s">
        <v>87</v>
      </c>
    </row>
    <row r="1215" spans="1:90" x14ac:dyDescent="0.3">
      <c r="A1215" t="s">
        <v>72</v>
      </c>
      <c r="B1215" t="s">
        <v>73</v>
      </c>
      <c r="C1215" t="s">
        <v>74</v>
      </c>
      <c r="E1215" t="str">
        <f>"080069789546"</f>
        <v>080069789546</v>
      </c>
      <c r="F1215" s="3">
        <v>46000</v>
      </c>
      <c r="G1215">
        <v>202609</v>
      </c>
      <c r="H1215" t="s">
        <v>75</v>
      </c>
      <c r="I1215" t="s">
        <v>76</v>
      </c>
      <c r="J1215" t="s">
        <v>77</v>
      </c>
      <c r="K1215" t="s">
        <v>78</v>
      </c>
      <c r="L1215" t="s">
        <v>100</v>
      </c>
      <c r="M1215" t="s">
        <v>101</v>
      </c>
      <c r="N1215" t="s">
        <v>1367</v>
      </c>
      <c r="O1215" t="s">
        <v>89</v>
      </c>
      <c r="P1215" t="str">
        <f>"4170072641                    "</f>
        <v xml:space="preserve">4170072641                    </v>
      </c>
      <c r="Q1215">
        <v>0</v>
      </c>
      <c r="R1215">
        <v>0</v>
      </c>
      <c r="S1215">
        <v>0</v>
      </c>
      <c r="T1215">
        <v>0</v>
      </c>
      <c r="U1215">
        <v>0</v>
      </c>
      <c r="V1215">
        <v>0</v>
      </c>
      <c r="W1215">
        <v>0</v>
      </c>
      <c r="X1215">
        <v>0</v>
      </c>
      <c r="Y1215">
        <v>0</v>
      </c>
      <c r="Z1215">
        <v>0</v>
      </c>
      <c r="AA1215">
        <v>0</v>
      </c>
      <c r="AB1215">
        <v>0</v>
      </c>
      <c r="AC1215">
        <v>0</v>
      </c>
      <c r="AD1215">
        <v>0</v>
      </c>
      <c r="AE1215">
        <v>0</v>
      </c>
      <c r="AF1215">
        <v>0</v>
      </c>
      <c r="AG1215">
        <v>0</v>
      </c>
      <c r="AH1215">
        <v>0</v>
      </c>
      <c r="AI1215">
        <v>0</v>
      </c>
      <c r="AJ1215">
        <v>0</v>
      </c>
      <c r="AK1215">
        <v>0</v>
      </c>
      <c r="AL1215">
        <v>0</v>
      </c>
      <c r="AM1215">
        <v>0</v>
      </c>
      <c r="AN1215">
        <v>0</v>
      </c>
      <c r="AO1215">
        <v>0</v>
      </c>
      <c r="AP1215">
        <v>0</v>
      </c>
      <c r="AQ1215">
        <v>25.52</v>
      </c>
      <c r="AR1215">
        <v>0</v>
      </c>
      <c r="AS1215">
        <v>0</v>
      </c>
      <c r="AT1215">
        <v>0</v>
      </c>
      <c r="AU1215">
        <v>0</v>
      </c>
      <c r="AV1215">
        <v>0</v>
      </c>
      <c r="AW1215">
        <v>0</v>
      </c>
      <c r="AX1215">
        <v>0</v>
      </c>
      <c r="AY1215">
        <v>0</v>
      </c>
      <c r="AZ1215">
        <v>0</v>
      </c>
      <c r="BA1215">
        <v>0</v>
      </c>
      <c r="BB1215">
        <v>0</v>
      </c>
      <c r="BC1215">
        <v>0</v>
      </c>
      <c r="BD1215">
        <v>0</v>
      </c>
      <c r="BE1215">
        <v>0</v>
      </c>
      <c r="BF1215">
        <v>0</v>
      </c>
      <c r="BG1215">
        <v>0</v>
      </c>
      <c r="BH1215">
        <v>1</v>
      </c>
      <c r="BI1215">
        <v>1</v>
      </c>
      <c r="BJ1215">
        <v>0.2</v>
      </c>
      <c r="BK1215">
        <v>1</v>
      </c>
      <c r="BL1215">
        <v>76.06</v>
      </c>
      <c r="BM1215">
        <v>11.41</v>
      </c>
      <c r="BN1215">
        <v>87.47</v>
      </c>
      <c r="BO1215">
        <v>87.47</v>
      </c>
      <c r="BQ1215" t="s">
        <v>1368</v>
      </c>
      <c r="BR1215" t="s">
        <v>82</v>
      </c>
      <c r="BS1215" s="3">
        <v>46001</v>
      </c>
      <c r="BT1215" s="4">
        <v>0.43819444444444444</v>
      </c>
      <c r="BU1215" t="s">
        <v>1941</v>
      </c>
      <c r="BV1215" t="s">
        <v>84</v>
      </c>
      <c r="BY1215">
        <v>1200</v>
      </c>
      <c r="CA1215" t="s">
        <v>1942</v>
      </c>
      <c r="CC1215" t="s">
        <v>101</v>
      </c>
      <c r="CD1215">
        <v>4001</v>
      </c>
      <c r="CE1215" t="s">
        <v>134</v>
      </c>
      <c r="CF1215" s="3">
        <v>46002</v>
      </c>
      <c r="CI1215">
        <v>1</v>
      </c>
      <c r="CJ1215">
        <v>1</v>
      </c>
      <c r="CK1215">
        <v>21</v>
      </c>
      <c r="CL1215" t="s">
        <v>87</v>
      </c>
    </row>
    <row r="1216" spans="1:90" x14ac:dyDescent="0.3">
      <c r="A1216" t="s">
        <v>72</v>
      </c>
      <c r="B1216" t="s">
        <v>73</v>
      </c>
      <c r="C1216" t="s">
        <v>74</v>
      </c>
      <c r="E1216" t="str">
        <f>"080069789604"</f>
        <v>080069789604</v>
      </c>
      <c r="F1216" s="3">
        <v>46000</v>
      </c>
      <c r="G1216">
        <v>202609</v>
      </c>
      <c r="H1216" t="s">
        <v>75</v>
      </c>
      <c r="I1216" t="s">
        <v>76</v>
      </c>
      <c r="J1216" t="s">
        <v>77</v>
      </c>
      <c r="K1216" t="s">
        <v>78</v>
      </c>
      <c r="L1216" t="s">
        <v>189</v>
      </c>
      <c r="M1216" t="s">
        <v>190</v>
      </c>
      <c r="N1216" t="s">
        <v>791</v>
      </c>
      <c r="O1216" t="s">
        <v>89</v>
      </c>
      <c r="P1216" t="str">
        <f>"4170072624                    "</f>
        <v xml:space="preserve">4170072624                    </v>
      </c>
      <c r="Q1216">
        <v>0</v>
      </c>
      <c r="R1216">
        <v>0</v>
      </c>
      <c r="S1216">
        <v>0</v>
      </c>
      <c r="T1216">
        <v>0</v>
      </c>
      <c r="U1216">
        <v>0</v>
      </c>
      <c r="V1216">
        <v>0</v>
      </c>
      <c r="W1216">
        <v>0</v>
      </c>
      <c r="X1216">
        <v>0</v>
      </c>
      <c r="Y1216">
        <v>0</v>
      </c>
      <c r="Z1216">
        <v>0</v>
      </c>
      <c r="AA1216">
        <v>0</v>
      </c>
      <c r="AB1216">
        <v>0</v>
      </c>
      <c r="AC1216">
        <v>0</v>
      </c>
      <c r="AD1216">
        <v>0</v>
      </c>
      <c r="AE1216">
        <v>0</v>
      </c>
      <c r="AF1216">
        <v>0</v>
      </c>
      <c r="AG1216">
        <v>0</v>
      </c>
      <c r="AH1216">
        <v>0</v>
      </c>
      <c r="AI1216">
        <v>0</v>
      </c>
      <c r="AJ1216">
        <v>0</v>
      </c>
      <c r="AK1216">
        <v>0</v>
      </c>
      <c r="AL1216">
        <v>0</v>
      </c>
      <c r="AM1216">
        <v>0</v>
      </c>
      <c r="AN1216">
        <v>0</v>
      </c>
      <c r="AO1216">
        <v>0</v>
      </c>
      <c r="AP1216">
        <v>0</v>
      </c>
      <c r="AQ1216">
        <v>25.52</v>
      </c>
      <c r="AR1216">
        <v>0</v>
      </c>
      <c r="AS1216">
        <v>0</v>
      </c>
      <c r="AT1216">
        <v>0</v>
      </c>
      <c r="AU1216">
        <v>0</v>
      </c>
      <c r="AV1216">
        <v>0</v>
      </c>
      <c r="AW1216">
        <v>0</v>
      </c>
      <c r="AX1216">
        <v>0</v>
      </c>
      <c r="AY1216">
        <v>0</v>
      </c>
      <c r="AZ1216">
        <v>0</v>
      </c>
      <c r="BA1216">
        <v>0</v>
      </c>
      <c r="BB1216">
        <v>0</v>
      </c>
      <c r="BC1216">
        <v>0</v>
      </c>
      <c r="BD1216">
        <v>0</v>
      </c>
      <c r="BE1216">
        <v>0</v>
      </c>
      <c r="BF1216">
        <v>0</v>
      </c>
      <c r="BG1216">
        <v>0</v>
      </c>
      <c r="BH1216">
        <v>1</v>
      </c>
      <c r="BI1216">
        <v>1</v>
      </c>
      <c r="BJ1216">
        <v>0.2</v>
      </c>
      <c r="BK1216">
        <v>1</v>
      </c>
      <c r="BL1216">
        <v>76.06</v>
      </c>
      <c r="BM1216">
        <v>11.41</v>
      </c>
      <c r="BN1216">
        <v>87.47</v>
      </c>
      <c r="BO1216">
        <v>87.47</v>
      </c>
      <c r="BQ1216" t="s">
        <v>792</v>
      </c>
      <c r="BR1216" t="s">
        <v>82</v>
      </c>
      <c r="BS1216" s="3">
        <v>46002</v>
      </c>
      <c r="BT1216" s="4">
        <v>0.44930555555555557</v>
      </c>
      <c r="BU1216" t="s">
        <v>1896</v>
      </c>
      <c r="BV1216" t="s">
        <v>87</v>
      </c>
      <c r="BY1216">
        <v>1200</v>
      </c>
      <c r="CA1216" t="s">
        <v>794</v>
      </c>
      <c r="CC1216" t="s">
        <v>190</v>
      </c>
      <c r="CD1216">
        <v>3201</v>
      </c>
      <c r="CE1216" t="s">
        <v>134</v>
      </c>
      <c r="CI1216">
        <v>1</v>
      </c>
      <c r="CJ1216">
        <v>2</v>
      </c>
      <c r="CK1216">
        <v>21</v>
      </c>
      <c r="CL1216" t="s">
        <v>87</v>
      </c>
    </row>
    <row r="1217" spans="1:90" x14ac:dyDescent="0.3">
      <c r="A1217" t="s">
        <v>72</v>
      </c>
      <c r="B1217" t="s">
        <v>73</v>
      </c>
      <c r="C1217" t="s">
        <v>74</v>
      </c>
      <c r="E1217" t="str">
        <f>"080069789913"</f>
        <v>080069789913</v>
      </c>
      <c r="F1217" s="3">
        <v>46000</v>
      </c>
      <c r="G1217">
        <v>202609</v>
      </c>
      <c r="H1217" t="s">
        <v>75</v>
      </c>
      <c r="I1217" t="s">
        <v>76</v>
      </c>
      <c r="J1217" t="s">
        <v>77</v>
      </c>
      <c r="K1217" t="s">
        <v>78</v>
      </c>
      <c r="L1217" t="s">
        <v>75</v>
      </c>
      <c r="M1217" t="s">
        <v>76</v>
      </c>
      <c r="N1217" t="s">
        <v>1072</v>
      </c>
      <c r="O1217" t="s">
        <v>89</v>
      </c>
      <c r="P1217" t="str">
        <f>"4170072731                    "</f>
        <v xml:space="preserve">4170072731                    </v>
      </c>
      <c r="Q1217">
        <v>0</v>
      </c>
      <c r="R1217">
        <v>0</v>
      </c>
      <c r="S1217">
        <v>0</v>
      </c>
      <c r="T1217">
        <v>0</v>
      </c>
      <c r="U1217">
        <v>0</v>
      </c>
      <c r="V1217">
        <v>0</v>
      </c>
      <c r="W1217">
        <v>0</v>
      </c>
      <c r="X1217">
        <v>0</v>
      </c>
      <c r="Y1217">
        <v>0</v>
      </c>
      <c r="Z1217">
        <v>0</v>
      </c>
      <c r="AA1217">
        <v>0</v>
      </c>
      <c r="AB1217">
        <v>0</v>
      </c>
      <c r="AC1217">
        <v>0</v>
      </c>
      <c r="AD1217">
        <v>0</v>
      </c>
      <c r="AE1217">
        <v>0</v>
      </c>
      <c r="AF1217">
        <v>0</v>
      </c>
      <c r="AG1217">
        <v>0</v>
      </c>
      <c r="AH1217">
        <v>0</v>
      </c>
      <c r="AI1217">
        <v>0</v>
      </c>
      <c r="AJ1217">
        <v>0</v>
      </c>
      <c r="AK1217">
        <v>0</v>
      </c>
      <c r="AL1217">
        <v>0</v>
      </c>
      <c r="AM1217">
        <v>0</v>
      </c>
      <c r="AN1217">
        <v>0</v>
      </c>
      <c r="AO1217">
        <v>0</v>
      </c>
      <c r="AP1217">
        <v>0</v>
      </c>
      <c r="AQ1217">
        <v>19.940000000000001</v>
      </c>
      <c r="AR1217">
        <v>0</v>
      </c>
      <c r="AS1217">
        <v>0</v>
      </c>
      <c r="AT1217">
        <v>0</v>
      </c>
      <c r="AU1217">
        <v>0</v>
      </c>
      <c r="AV1217">
        <v>0</v>
      </c>
      <c r="AW1217">
        <v>0</v>
      </c>
      <c r="AX1217">
        <v>0</v>
      </c>
      <c r="AY1217">
        <v>0</v>
      </c>
      <c r="AZ1217">
        <v>0</v>
      </c>
      <c r="BA1217">
        <v>0</v>
      </c>
      <c r="BB1217">
        <v>0</v>
      </c>
      <c r="BC1217">
        <v>0</v>
      </c>
      <c r="BD1217">
        <v>0</v>
      </c>
      <c r="BE1217">
        <v>0</v>
      </c>
      <c r="BF1217">
        <v>0</v>
      </c>
      <c r="BG1217">
        <v>0</v>
      </c>
      <c r="BH1217">
        <v>1</v>
      </c>
      <c r="BI1217">
        <v>1</v>
      </c>
      <c r="BJ1217">
        <v>0.2</v>
      </c>
      <c r="BK1217">
        <v>1</v>
      </c>
      <c r="BL1217">
        <v>59.42</v>
      </c>
      <c r="BM1217">
        <v>8.91</v>
      </c>
      <c r="BN1217">
        <v>68.33</v>
      </c>
      <c r="BO1217">
        <v>68.33</v>
      </c>
      <c r="BQ1217" t="s">
        <v>1073</v>
      </c>
      <c r="BR1217" t="s">
        <v>82</v>
      </c>
      <c r="BS1217" s="3">
        <v>46002</v>
      </c>
      <c r="BT1217" s="4">
        <v>0.34722222222222221</v>
      </c>
      <c r="BU1217" t="s">
        <v>1074</v>
      </c>
      <c r="BV1217" t="s">
        <v>87</v>
      </c>
      <c r="BW1217" t="s">
        <v>174</v>
      </c>
      <c r="BX1217" t="s">
        <v>300</v>
      </c>
      <c r="BY1217">
        <v>1200</v>
      </c>
      <c r="CC1217" t="s">
        <v>76</v>
      </c>
      <c r="CD1217">
        <v>1614</v>
      </c>
      <c r="CE1217" t="s">
        <v>134</v>
      </c>
      <c r="CF1217" s="3">
        <v>46002</v>
      </c>
      <c r="CI1217">
        <v>1</v>
      </c>
      <c r="CJ1217">
        <v>2</v>
      </c>
      <c r="CK1217">
        <v>22</v>
      </c>
      <c r="CL1217" t="s">
        <v>87</v>
      </c>
    </row>
    <row r="1218" spans="1:90" x14ac:dyDescent="0.3">
      <c r="A1218" t="s">
        <v>72</v>
      </c>
      <c r="B1218" t="s">
        <v>73</v>
      </c>
      <c r="C1218" t="s">
        <v>74</v>
      </c>
      <c r="E1218" t="str">
        <f>"080069789946"</f>
        <v>080069789946</v>
      </c>
      <c r="F1218" s="3">
        <v>46000</v>
      </c>
      <c r="G1218">
        <v>202609</v>
      </c>
      <c r="H1218" t="s">
        <v>75</v>
      </c>
      <c r="I1218" t="s">
        <v>76</v>
      </c>
      <c r="J1218" t="s">
        <v>77</v>
      </c>
      <c r="K1218" t="s">
        <v>78</v>
      </c>
      <c r="L1218" t="s">
        <v>100</v>
      </c>
      <c r="M1218" t="s">
        <v>101</v>
      </c>
      <c r="N1218" t="s">
        <v>166</v>
      </c>
      <c r="O1218" t="s">
        <v>89</v>
      </c>
      <c r="P1218" t="str">
        <f>"4170072699                    "</f>
        <v xml:space="preserve">4170072699                    </v>
      </c>
      <c r="Q1218">
        <v>0</v>
      </c>
      <c r="R1218">
        <v>0</v>
      </c>
      <c r="S1218">
        <v>0</v>
      </c>
      <c r="T1218">
        <v>0</v>
      </c>
      <c r="U1218">
        <v>0</v>
      </c>
      <c r="V1218">
        <v>0</v>
      </c>
      <c r="W1218">
        <v>0</v>
      </c>
      <c r="X1218">
        <v>0</v>
      </c>
      <c r="Y1218">
        <v>0</v>
      </c>
      <c r="Z1218">
        <v>0</v>
      </c>
      <c r="AA1218">
        <v>0</v>
      </c>
      <c r="AB1218">
        <v>0</v>
      </c>
      <c r="AC1218">
        <v>0</v>
      </c>
      <c r="AD1218">
        <v>0</v>
      </c>
      <c r="AE1218">
        <v>0</v>
      </c>
      <c r="AF1218">
        <v>0</v>
      </c>
      <c r="AG1218">
        <v>0</v>
      </c>
      <c r="AH1218">
        <v>0</v>
      </c>
      <c r="AI1218">
        <v>0</v>
      </c>
      <c r="AJ1218">
        <v>0</v>
      </c>
      <c r="AK1218">
        <v>0</v>
      </c>
      <c r="AL1218">
        <v>0</v>
      </c>
      <c r="AM1218">
        <v>0</v>
      </c>
      <c r="AN1218">
        <v>0</v>
      </c>
      <c r="AO1218">
        <v>0</v>
      </c>
      <c r="AP1218">
        <v>0</v>
      </c>
      <c r="AQ1218">
        <v>25.52</v>
      </c>
      <c r="AR1218">
        <v>0</v>
      </c>
      <c r="AS1218">
        <v>0</v>
      </c>
      <c r="AT1218">
        <v>0</v>
      </c>
      <c r="AU1218">
        <v>0</v>
      </c>
      <c r="AV1218">
        <v>0</v>
      </c>
      <c r="AW1218">
        <v>0</v>
      </c>
      <c r="AX1218">
        <v>0</v>
      </c>
      <c r="AY1218">
        <v>0</v>
      </c>
      <c r="AZ1218">
        <v>0</v>
      </c>
      <c r="BA1218">
        <v>0</v>
      </c>
      <c r="BB1218">
        <v>0</v>
      </c>
      <c r="BC1218">
        <v>0</v>
      </c>
      <c r="BD1218">
        <v>0</v>
      </c>
      <c r="BE1218">
        <v>0</v>
      </c>
      <c r="BF1218">
        <v>0</v>
      </c>
      <c r="BG1218">
        <v>0</v>
      </c>
      <c r="BH1218">
        <v>1</v>
      </c>
      <c r="BI1218">
        <v>1</v>
      </c>
      <c r="BJ1218">
        <v>0.2</v>
      </c>
      <c r="BK1218">
        <v>1</v>
      </c>
      <c r="BL1218">
        <v>76.06</v>
      </c>
      <c r="BM1218">
        <v>11.41</v>
      </c>
      <c r="BN1218">
        <v>87.47</v>
      </c>
      <c r="BO1218">
        <v>87.47</v>
      </c>
      <c r="BQ1218" t="s">
        <v>167</v>
      </c>
      <c r="BR1218" t="s">
        <v>82</v>
      </c>
      <c r="BS1218" s="3">
        <v>46001</v>
      </c>
      <c r="BT1218" s="4">
        <v>0.42638888888888887</v>
      </c>
      <c r="BU1218" t="s">
        <v>644</v>
      </c>
      <c r="BV1218" t="s">
        <v>84</v>
      </c>
      <c r="BY1218">
        <v>1200</v>
      </c>
      <c r="CA1218" t="s">
        <v>929</v>
      </c>
      <c r="CC1218" t="s">
        <v>101</v>
      </c>
      <c r="CD1218">
        <v>4000</v>
      </c>
      <c r="CE1218" t="s">
        <v>134</v>
      </c>
      <c r="CF1218" s="3">
        <v>46002</v>
      </c>
      <c r="CI1218">
        <v>1</v>
      </c>
      <c r="CJ1218">
        <v>1</v>
      </c>
      <c r="CK1218">
        <v>21</v>
      </c>
      <c r="CL1218" t="s">
        <v>87</v>
      </c>
    </row>
    <row r="1219" spans="1:90" x14ac:dyDescent="0.3">
      <c r="A1219" t="s">
        <v>72</v>
      </c>
      <c r="B1219" t="s">
        <v>73</v>
      </c>
      <c r="C1219" t="s">
        <v>74</v>
      </c>
      <c r="E1219" t="str">
        <f>"080069789950"</f>
        <v>080069789950</v>
      </c>
      <c r="F1219" s="3">
        <v>46000</v>
      </c>
      <c r="G1219">
        <v>202609</v>
      </c>
      <c r="H1219" t="s">
        <v>75</v>
      </c>
      <c r="I1219" t="s">
        <v>76</v>
      </c>
      <c r="J1219" t="s">
        <v>77</v>
      </c>
      <c r="K1219" t="s">
        <v>78</v>
      </c>
      <c r="L1219" t="s">
        <v>389</v>
      </c>
      <c r="M1219" t="s">
        <v>390</v>
      </c>
      <c r="N1219" t="s">
        <v>864</v>
      </c>
      <c r="O1219" t="s">
        <v>89</v>
      </c>
      <c r="P1219" t="str">
        <f>"4170072614                    "</f>
        <v xml:space="preserve">4170072614                    </v>
      </c>
      <c r="Q1219">
        <v>0</v>
      </c>
      <c r="R1219">
        <v>0</v>
      </c>
      <c r="S1219">
        <v>0</v>
      </c>
      <c r="T1219">
        <v>0</v>
      </c>
      <c r="U1219">
        <v>0</v>
      </c>
      <c r="V1219">
        <v>0</v>
      </c>
      <c r="W1219">
        <v>0</v>
      </c>
      <c r="X1219">
        <v>0</v>
      </c>
      <c r="Y1219">
        <v>0</v>
      </c>
      <c r="Z1219">
        <v>0</v>
      </c>
      <c r="AA1219">
        <v>0</v>
      </c>
      <c r="AB1219">
        <v>0</v>
      </c>
      <c r="AC1219">
        <v>0</v>
      </c>
      <c r="AD1219">
        <v>0</v>
      </c>
      <c r="AE1219">
        <v>0</v>
      </c>
      <c r="AF1219">
        <v>0</v>
      </c>
      <c r="AG1219">
        <v>0</v>
      </c>
      <c r="AH1219">
        <v>0</v>
      </c>
      <c r="AI1219">
        <v>0</v>
      </c>
      <c r="AJ1219">
        <v>0</v>
      </c>
      <c r="AK1219">
        <v>0</v>
      </c>
      <c r="AL1219">
        <v>0</v>
      </c>
      <c r="AM1219">
        <v>0</v>
      </c>
      <c r="AN1219">
        <v>0</v>
      </c>
      <c r="AO1219">
        <v>0</v>
      </c>
      <c r="AP1219">
        <v>0</v>
      </c>
      <c r="AQ1219">
        <v>250.43</v>
      </c>
      <c r="AR1219">
        <v>0</v>
      </c>
      <c r="AS1219">
        <v>0</v>
      </c>
      <c r="AT1219">
        <v>0</v>
      </c>
      <c r="AU1219">
        <v>0</v>
      </c>
      <c r="AV1219">
        <v>0</v>
      </c>
      <c r="AW1219">
        <v>0</v>
      </c>
      <c r="AX1219">
        <v>0</v>
      </c>
      <c r="AY1219">
        <v>0</v>
      </c>
      <c r="AZ1219">
        <v>0</v>
      </c>
      <c r="BA1219">
        <v>0</v>
      </c>
      <c r="BB1219">
        <v>0</v>
      </c>
      <c r="BC1219">
        <v>0</v>
      </c>
      <c r="BD1219">
        <v>0</v>
      </c>
      <c r="BE1219">
        <v>0</v>
      </c>
      <c r="BF1219">
        <v>0</v>
      </c>
      <c r="BG1219">
        <v>0</v>
      </c>
      <c r="BH1219">
        <v>1</v>
      </c>
      <c r="BI1219">
        <v>7</v>
      </c>
      <c r="BJ1219">
        <v>10.9</v>
      </c>
      <c r="BK1219">
        <v>11</v>
      </c>
      <c r="BL1219">
        <v>746.34</v>
      </c>
      <c r="BM1219">
        <v>111.95</v>
      </c>
      <c r="BN1219">
        <v>858.29</v>
      </c>
      <c r="BO1219">
        <v>858.29</v>
      </c>
      <c r="BQ1219" t="s">
        <v>865</v>
      </c>
      <c r="BR1219" t="s">
        <v>82</v>
      </c>
      <c r="BS1219" s="3">
        <v>46002</v>
      </c>
      <c r="BT1219" s="4">
        <v>0.41736111111111113</v>
      </c>
      <c r="BU1219" t="s">
        <v>866</v>
      </c>
      <c r="BV1219" t="s">
        <v>87</v>
      </c>
      <c r="BW1219" t="s">
        <v>174</v>
      </c>
      <c r="BX1219" t="s">
        <v>867</v>
      </c>
      <c r="BY1219">
        <v>54332</v>
      </c>
      <c r="CC1219" t="s">
        <v>390</v>
      </c>
      <c r="CD1219" s="5" t="s">
        <v>395</v>
      </c>
      <c r="CE1219" t="s">
        <v>93</v>
      </c>
      <c r="CI1219">
        <v>1</v>
      </c>
      <c r="CJ1219">
        <v>2</v>
      </c>
      <c r="CK1219">
        <v>23</v>
      </c>
      <c r="CL1219" t="s">
        <v>87</v>
      </c>
    </row>
    <row r="1220" spans="1:90" x14ac:dyDescent="0.3">
      <c r="A1220" t="s">
        <v>72</v>
      </c>
      <c r="B1220" t="s">
        <v>73</v>
      </c>
      <c r="C1220" t="s">
        <v>74</v>
      </c>
      <c r="E1220" t="str">
        <f>"080069790008"</f>
        <v>080069790008</v>
      </c>
      <c r="F1220" s="3">
        <v>46000</v>
      </c>
      <c r="G1220">
        <v>202609</v>
      </c>
      <c r="H1220" t="s">
        <v>75</v>
      </c>
      <c r="I1220" t="s">
        <v>76</v>
      </c>
      <c r="J1220" t="s">
        <v>77</v>
      </c>
      <c r="K1220" t="s">
        <v>78</v>
      </c>
      <c r="L1220" t="s">
        <v>75</v>
      </c>
      <c r="M1220" t="s">
        <v>76</v>
      </c>
      <c r="N1220" t="s">
        <v>88</v>
      </c>
      <c r="O1220" t="s">
        <v>340</v>
      </c>
      <c r="P1220" t="str">
        <f>"4170072660                    "</f>
        <v xml:space="preserve">4170072660                    </v>
      </c>
      <c r="Q1220">
        <v>0</v>
      </c>
      <c r="R1220">
        <v>0</v>
      </c>
      <c r="S1220">
        <v>0</v>
      </c>
      <c r="T1220">
        <v>0</v>
      </c>
      <c r="U1220">
        <v>0</v>
      </c>
      <c r="V1220">
        <v>0</v>
      </c>
      <c r="W1220">
        <v>0</v>
      </c>
      <c r="X1220">
        <v>0</v>
      </c>
      <c r="Y1220">
        <v>0</v>
      </c>
      <c r="Z1220">
        <v>0</v>
      </c>
      <c r="AA1220">
        <v>0</v>
      </c>
      <c r="AB1220">
        <v>0</v>
      </c>
      <c r="AC1220">
        <v>0</v>
      </c>
      <c r="AD1220">
        <v>0</v>
      </c>
      <c r="AE1220">
        <v>0</v>
      </c>
      <c r="AF1220">
        <v>0</v>
      </c>
      <c r="AG1220">
        <v>0</v>
      </c>
      <c r="AH1220">
        <v>0</v>
      </c>
      <c r="AI1220">
        <v>0</v>
      </c>
      <c r="AJ1220">
        <v>0</v>
      </c>
      <c r="AK1220">
        <v>0</v>
      </c>
      <c r="AL1220">
        <v>0</v>
      </c>
      <c r="AM1220">
        <v>0</v>
      </c>
      <c r="AN1220">
        <v>0</v>
      </c>
      <c r="AO1220">
        <v>0</v>
      </c>
      <c r="AP1220">
        <v>0</v>
      </c>
      <c r="AQ1220">
        <v>19.940000000000001</v>
      </c>
      <c r="AR1220">
        <v>0</v>
      </c>
      <c r="AS1220">
        <v>0</v>
      </c>
      <c r="AT1220">
        <v>0</v>
      </c>
      <c r="AU1220">
        <v>0</v>
      </c>
      <c r="AV1220">
        <v>0</v>
      </c>
      <c r="AW1220">
        <v>0</v>
      </c>
      <c r="AX1220">
        <v>0</v>
      </c>
      <c r="AY1220">
        <v>0</v>
      </c>
      <c r="AZ1220">
        <v>0</v>
      </c>
      <c r="BA1220">
        <v>0</v>
      </c>
      <c r="BB1220">
        <v>0</v>
      </c>
      <c r="BC1220">
        <v>0</v>
      </c>
      <c r="BD1220">
        <v>0</v>
      </c>
      <c r="BE1220">
        <v>0</v>
      </c>
      <c r="BF1220">
        <v>0</v>
      </c>
      <c r="BG1220">
        <v>0</v>
      </c>
      <c r="BH1220">
        <v>1</v>
      </c>
      <c r="BI1220">
        <v>0.2</v>
      </c>
      <c r="BJ1220">
        <v>5</v>
      </c>
      <c r="BK1220">
        <v>5</v>
      </c>
      <c r="BL1220">
        <v>59.43</v>
      </c>
      <c r="BM1220">
        <v>8.91</v>
      </c>
      <c r="BN1220">
        <v>68.34</v>
      </c>
      <c r="BO1220">
        <v>68.34</v>
      </c>
      <c r="BQ1220" t="s">
        <v>90</v>
      </c>
      <c r="BR1220" t="s">
        <v>82</v>
      </c>
      <c r="BS1220" s="3">
        <v>46001</v>
      </c>
      <c r="BT1220" s="4">
        <v>0.32291666666666669</v>
      </c>
      <c r="BU1220" t="s">
        <v>91</v>
      </c>
      <c r="BV1220" t="s">
        <v>84</v>
      </c>
      <c r="BY1220">
        <v>25004</v>
      </c>
      <c r="CA1220" t="s">
        <v>92</v>
      </c>
      <c r="CC1220" t="s">
        <v>76</v>
      </c>
      <c r="CD1220">
        <v>1600</v>
      </c>
      <c r="CE1220" t="s">
        <v>86</v>
      </c>
      <c r="CF1220" s="3">
        <v>46002</v>
      </c>
      <c r="CI1220">
        <v>1</v>
      </c>
      <c r="CJ1220">
        <v>1</v>
      </c>
      <c r="CK1220">
        <v>32</v>
      </c>
      <c r="CL1220" t="s">
        <v>87</v>
      </c>
    </row>
    <row r="1221" spans="1:90" x14ac:dyDescent="0.3">
      <c r="A1221" t="s">
        <v>72</v>
      </c>
      <c r="B1221" t="s">
        <v>73</v>
      </c>
      <c r="C1221" t="s">
        <v>74</v>
      </c>
      <c r="E1221" t="str">
        <f>"080069790050"</f>
        <v>080069790050</v>
      </c>
      <c r="F1221" s="3">
        <v>46000</v>
      </c>
      <c r="G1221">
        <v>202609</v>
      </c>
      <c r="H1221" t="s">
        <v>75</v>
      </c>
      <c r="I1221" t="s">
        <v>76</v>
      </c>
      <c r="J1221" t="s">
        <v>77</v>
      </c>
      <c r="K1221" t="s">
        <v>78</v>
      </c>
      <c r="L1221" t="s">
        <v>366</v>
      </c>
      <c r="M1221" t="s">
        <v>367</v>
      </c>
      <c r="N1221" t="s">
        <v>521</v>
      </c>
      <c r="O1221" t="s">
        <v>340</v>
      </c>
      <c r="P1221" t="str">
        <f>"4170072669                    "</f>
        <v xml:space="preserve">4170072669                    </v>
      </c>
      <c r="Q1221">
        <v>0</v>
      </c>
      <c r="R1221">
        <v>0</v>
      </c>
      <c r="S1221">
        <v>0</v>
      </c>
      <c r="T1221">
        <v>0</v>
      </c>
      <c r="U1221">
        <v>0</v>
      </c>
      <c r="V1221">
        <v>0</v>
      </c>
      <c r="W1221">
        <v>0</v>
      </c>
      <c r="X1221">
        <v>0</v>
      </c>
      <c r="Y1221">
        <v>0</v>
      </c>
      <c r="Z1221">
        <v>0</v>
      </c>
      <c r="AA1221">
        <v>0</v>
      </c>
      <c r="AB1221">
        <v>0</v>
      </c>
      <c r="AC1221">
        <v>0</v>
      </c>
      <c r="AD1221">
        <v>0</v>
      </c>
      <c r="AE1221">
        <v>0</v>
      </c>
      <c r="AF1221">
        <v>0</v>
      </c>
      <c r="AG1221">
        <v>0</v>
      </c>
      <c r="AH1221">
        <v>0</v>
      </c>
      <c r="AI1221">
        <v>0</v>
      </c>
      <c r="AJ1221">
        <v>0</v>
      </c>
      <c r="AK1221">
        <v>0</v>
      </c>
      <c r="AL1221">
        <v>0</v>
      </c>
      <c r="AM1221">
        <v>0</v>
      </c>
      <c r="AN1221">
        <v>0</v>
      </c>
      <c r="AO1221">
        <v>0</v>
      </c>
      <c r="AP1221">
        <v>0</v>
      </c>
      <c r="AQ1221">
        <v>153.16</v>
      </c>
      <c r="AR1221">
        <v>0</v>
      </c>
      <c r="AS1221">
        <v>0</v>
      </c>
      <c r="AT1221">
        <v>0</v>
      </c>
      <c r="AU1221">
        <v>0</v>
      </c>
      <c r="AV1221">
        <v>0</v>
      </c>
      <c r="AW1221">
        <v>0</v>
      </c>
      <c r="AX1221">
        <v>0</v>
      </c>
      <c r="AY1221">
        <v>0</v>
      </c>
      <c r="AZ1221">
        <v>0</v>
      </c>
      <c r="BA1221">
        <v>0</v>
      </c>
      <c r="BB1221">
        <v>0</v>
      </c>
      <c r="BC1221">
        <v>0</v>
      </c>
      <c r="BD1221">
        <v>0</v>
      </c>
      <c r="BE1221">
        <v>0</v>
      </c>
      <c r="BF1221">
        <v>0</v>
      </c>
      <c r="BG1221">
        <v>0</v>
      </c>
      <c r="BH1221">
        <v>1</v>
      </c>
      <c r="BI1221">
        <v>6</v>
      </c>
      <c r="BJ1221">
        <v>3.2</v>
      </c>
      <c r="BK1221">
        <v>6</v>
      </c>
      <c r="BL1221">
        <v>456.45</v>
      </c>
      <c r="BM1221">
        <v>68.47</v>
      </c>
      <c r="BN1221">
        <v>524.91999999999996</v>
      </c>
      <c r="BO1221">
        <v>524.91999999999996</v>
      </c>
      <c r="BQ1221" t="s">
        <v>522</v>
      </c>
      <c r="BR1221" t="s">
        <v>82</v>
      </c>
      <c r="BS1221" s="3">
        <v>46001</v>
      </c>
      <c r="BT1221" s="4">
        <v>0.52500000000000002</v>
      </c>
      <c r="BU1221" t="s">
        <v>1940</v>
      </c>
      <c r="BV1221" t="s">
        <v>84</v>
      </c>
      <c r="BY1221">
        <v>16128</v>
      </c>
      <c r="CA1221">
        <v>8510125994083</v>
      </c>
      <c r="CC1221" t="s">
        <v>367</v>
      </c>
      <c r="CD1221">
        <v>1900</v>
      </c>
      <c r="CE1221" t="s">
        <v>86</v>
      </c>
      <c r="CF1221" s="3">
        <v>46002</v>
      </c>
      <c r="CI1221">
        <v>1</v>
      </c>
      <c r="CJ1221">
        <v>1</v>
      </c>
      <c r="CK1221">
        <v>33</v>
      </c>
      <c r="CL1221" t="s">
        <v>87</v>
      </c>
    </row>
    <row r="1222" spans="1:90" x14ac:dyDescent="0.3">
      <c r="A1222" t="s">
        <v>72</v>
      </c>
      <c r="B1222" t="s">
        <v>73</v>
      </c>
      <c r="C1222" t="s">
        <v>74</v>
      </c>
      <c r="E1222" t="str">
        <f>"080069790089"</f>
        <v>080069790089</v>
      </c>
      <c r="F1222" s="3">
        <v>46000</v>
      </c>
      <c r="G1222">
        <v>202609</v>
      </c>
      <c r="H1222" t="s">
        <v>75</v>
      </c>
      <c r="I1222" t="s">
        <v>76</v>
      </c>
      <c r="J1222" t="s">
        <v>77</v>
      </c>
      <c r="K1222" t="s">
        <v>78</v>
      </c>
      <c r="L1222" t="s">
        <v>128</v>
      </c>
      <c r="M1222" t="s">
        <v>129</v>
      </c>
      <c r="N1222" t="s">
        <v>1943</v>
      </c>
      <c r="O1222" t="s">
        <v>89</v>
      </c>
      <c r="P1222" t="str">
        <f>"4170072599                    "</f>
        <v xml:space="preserve">4170072599                    </v>
      </c>
      <c r="Q1222">
        <v>0</v>
      </c>
      <c r="R1222">
        <v>0</v>
      </c>
      <c r="S1222">
        <v>0</v>
      </c>
      <c r="T1222">
        <v>0</v>
      </c>
      <c r="U1222">
        <v>0</v>
      </c>
      <c r="V1222">
        <v>0</v>
      </c>
      <c r="W1222">
        <v>0</v>
      </c>
      <c r="X1222">
        <v>0</v>
      </c>
      <c r="Y1222">
        <v>0</v>
      </c>
      <c r="Z1222">
        <v>0</v>
      </c>
      <c r="AA1222">
        <v>0</v>
      </c>
      <c r="AB1222">
        <v>0</v>
      </c>
      <c r="AC1222">
        <v>0</v>
      </c>
      <c r="AD1222">
        <v>0</v>
      </c>
      <c r="AE1222">
        <v>0</v>
      </c>
      <c r="AF1222">
        <v>0</v>
      </c>
      <c r="AG1222">
        <v>0</v>
      </c>
      <c r="AH1222">
        <v>0</v>
      </c>
      <c r="AI1222">
        <v>0</v>
      </c>
      <c r="AJ1222">
        <v>0</v>
      </c>
      <c r="AK1222">
        <v>0</v>
      </c>
      <c r="AL1222">
        <v>0</v>
      </c>
      <c r="AM1222">
        <v>0</v>
      </c>
      <c r="AN1222">
        <v>0</v>
      </c>
      <c r="AO1222">
        <v>0</v>
      </c>
      <c r="AP1222">
        <v>0</v>
      </c>
      <c r="AQ1222">
        <v>25.52</v>
      </c>
      <c r="AR1222">
        <v>0</v>
      </c>
      <c r="AS1222">
        <v>0</v>
      </c>
      <c r="AT1222">
        <v>0</v>
      </c>
      <c r="AU1222">
        <v>0</v>
      </c>
      <c r="AV1222">
        <v>0</v>
      </c>
      <c r="AW1222">
        <v>0</v>
      </c>
      <c r="AX1222">
        <v>0</v>
      </c>
      <c r="AY1222">
        <v>0</v>
      </c>
      <c r="AZ1222">
        <v>0</v>
      </c>
      <c r="BA1222">
        <v>0</v>
      </c>
      <c r="BB1222">
        <v>0</v>
      </c>
      <c r="BC1222">
        <v>0</v>
      </c>
      <c r="BD1222">
        <v>0</v>
      </c>
      <c r="BE1222">
        <v>0</v>
      </c>
      <c r="BF1222">
        <v>0</v>
      </c>
      <c r="BG1222">
        <v>0</v>
      </c>
      <c r="BH1222">
        <v>1</v>
      </c>
      <c r="BI1222">
        <v>0.2</v>
      </c>
      <c r="BJ1222">
        <v>1.5</v>
      </c>
      <c r="BK1222">
        <v>1.5</v>
      </c>
      <c r="BL1222">
        <v>76.06</v>
      </c>
      <c r="BM1222">
        <v>11.41</v>
      </c>
      <c r="BN1222">
        <v>87.47</v>
      </c>
      <c r="BO1222">
        <v>87.47</v>
      </c>
      <c r="BQ1222" t="s">
        <v>1944</v>
      </c>
      <c r="BR1222" t="s">
        <v>82</v>
      </c>
      <c r="BS1222" s="3">
        <v>46001</v>
      </c>
      <c r="BT1222" s="4">
        <v>0.49305555555555558</v>
      </c>
      <c r="BU1222" t="s">
        <v>1955</v>
      </c>
      <c r="BV1222" t="s">
        <v>84</v>
      </c>
      <c r="BY1222">
        <v>7565.09</v>
      </c>
      <c r="CA1222" t="s">
        <v>133</v>
      </c>
      <c r="CC1222" t="s">
        <v>129</v>
      </c>
      <c r="CD1222">
        <v>5201</v>
      </c>
      <c r="CE1222" t="s">
        <v>86</v>
      </c>
      <c r="CF1222" s="3">
        <v>46002</v>
      </c>
      <c r="CI1222">
        <v>5</v>
      </c>
      <c r="CJ1222">
        <v>1</v>
      </c>
      <c r="CK1222">
        <v>21</v>
      </c>
      <c r="CL1222" t="s">
        <v>87</v>
      </c>
    </row>
    <row r="1223" spans="1:90" x14ac:dyDescent="0.3">
      <c r="A1223" t="s">
        <v>72</v>
      </c>
      <c r="B1223" t="s">
        <v>73</v>
      </c>
      <c r="C1223" t="s">
        <v>74</v>
      </c>
      <c r="E1223" t="str">
        <f>"080069790140"</f>
        <v>080069790140</v>
      </c>
      <c r="F1223" s="3">
        <v>46000</v>
      </c>
      <c r="G1223">
        <v>202609</v>
      </c>
      <c r="H1223" t="s">
        <v>75</v>
      </c>
      <c r="I1223" t="s">
        <v>76</v>
      </c>
      <c r="J1223" t="s">
        <v>77</v>
      </c>
      <c r="K1223" t="s">
        <v>78</v>
      </c>
      <c r="L1223" t="s">
        <v>75</v>
      </c>
      <c r="M1223" t="s">
        <v>76</v>
      </c>
      <c r="N1223" t="s">
        <v>328</v>
      </c>
      <c r="O1223" t="s">
        <v>340</v>
      </c>
      <c r="P1223" t="str">
        <f>"4170072655                    "</f>
        <v xml:space="preserve">4170072655                    </v>
      </c>
      <c r="Q1223">
        <v>0</v>
      </c>
      <c r="R1223">
        <v>0</v>
      </c>
      <c r="S1223">
        <v>0</v>
      </c>
      <c r="T1223">
        <v>0</v>
      </c>
      <c r="U1223">
        <v>0</v>
      </c>
      <c r="V1223">
        <v>0</v>
      </c>
      <c r="W1223">
        <v>0</v>
      </c>
      <c r="X1223">
        <v>0</v>
      </c>
      <c r="Y1223">
        <v>0</v>
      </c>
      <c r="Z1223">
        <v>0</v>
      </c>
      <c r="AA1223">
        <v>0</v>
      </c>
      <c r="AB1223">
        <v>0</v>
      </c>
      <c r="AC1223">
        <v>0</v>
      </c>
      <c r="AD1223">
        <v>0</v>
      </c>
      <c r="AE1223">
        <v>0</v>
      </c>
      <c r="AF1223">
        <v>0</v>
      </c>
      <c r="AG1223">
        <v>0</v>
      </c>
      <c r="AH1223">
        <v>0</v>
      </c>
      <c r="AI1223">
        <v>0</v>
      </c>
      <c r="AJ1223">
        <v>0</v>
      </c>
      <c r="AK1223">
        <v>0</v>
      </c>
      <c r="AL1223">
        <v>0</v>
      </c>
      <c r="AM1223">
        <v>0</v>
      </c>
      <c r="AN1223">
        <v>0</v>
      </c>
      <c r="AO1223">
        <v>0</v>
      </c>
      <c r="AP1223">
        <v>0</v>
      </c>
      <c r="AQ1223">
        <v>19.940000000000001</v>
      </c>
      <c r="AR1223">
        <v>0</v>
      </c>
      <c r="AS1223">
        <v>0</v>
      </c>
      <c r="AT1223">
        <v>0</v>
      </c>
      <c r="AU1223">
        <v>0</v>
      </c>
      <c r="AV1223">
        <v>0</v>
      </c>
      <c r="AW1223">
        <v>0</v>
      </c>
      <c r="AX1223">
        <v>0</v>
      </c>
      <c r="AY1223">
        <v>0</v>
      </c>
      <c r="AZ1223">
        <v>0</v>
      </c>
      <c r="BA1223">
        <v>0</v>
      </c>
      <c r="BB1223">
        <v>0</v>
      </c>
      <c r="BC1223">
        <v>0</v>
      </c>
      <c r="BD1223">
        <v>0</v>
      </c>
      <c r="BE1223">
        <v>0</v>
      </c>
      <c r="BF1223">
        <v>0</v>
      </c>
      <c r="BG1223">
        <v>0</v>
      </c>
      <c r="BH1223">
        <v>1</v>
      </c>
      <c r="BI1223">
        <v>0.2</v>
      </c>
      <c r="BJ1223">
        <v>4.3</v>
      </c>
      <c r="BK1223">
        <v>5</v>
      </c>
      <c r="BL1223">
        <v>59.43</v>
      </c>
      <c r="BM1223">
        <v>8.91</v>
      </c>
      <c r="BN1223">
        <v>68.34</v>
      </c>
      <c r="BO1223">
        <v>68.34</v>
      </c>
      <c r="BQ1223" t="s">
        <v>329</v>
      </c>
      <c r="BR1223" t="s">
        <v>82</v>
      </c>
      <c r="BS1223" s="3">
        <v>46001</v>
      </c>
      <c r="BT1223" s="4">
        <v>0.41944444444444445</v>
      </c>
      <c r="BU1223" t="s">
        <v>1647</v>
      </c>
      <c r="BV1223" t="s">
        <v>84</v>
      </c>
      <c r="BY1223">
        <v>21554.720000000001</v>
      </c>
      <c r="CA1223" t="s">
        <v>331</v>
      </c>
      <c r="CC1223" t="s">
        <v>76</v>
      </c>
      <c r="CD1223">
        <v>1645</v>
      </c>
      <c r="CE1223" t="s">
        <v>93</v>
      </c>
      <c r="CF1223" s="3">
        <v>46001</v>
      </c>
      <c r="CI1223">
        <v>1</v>
      </c>
      <c r="CJ1223">
        <v>1</v>
      </c>
      <c r="CK1223">
        <v>32</v>
      </c>
      <c r="CL1223" t="s">
        <v>87</v>
      </c>
    </row>
    <row r="1224" spans="1:90" x14ac:dyDescent="0.3">
      <c r="A1224" t="s">
        <v>72</v>
      </c>
      <c r="B1224" t="s">
        <v>73</v>
      </c>
      <c r="C1224" t="s">
        <v>74</v>
      </c>
      <c r="E1224" t="str">
        <f>"080069790212"</f>
        <v>080069790212</v>
      </c>
      <c r="F1224" s="3">
        <v>46000</v>
      </c>
      <c r="G1224">
        <v>202609</v>
      </c>
      <c r="H1224" t="s">
        <v>75</v>
      </c>
      <c r="I1224" t="s">
        <v>76</v>
      </c>
      <c r="J1224" t="s">
        <v>77</v>
      </c>
      <c r="K1224" t="s">
        <v>78</v>
      </c>
      <c r="L1224" t="s">
        <v>302</v>
      </c>
      <c r="M1224" t="s">
        <v>303</v>
      </c>
      <c r="N1224" t="s">
        <v>1587</v>
      </c>
      <c r="O1224" t="s">
        <v>89</v>
      </c>
      <c r="P1224" t="str">
        <f>"4170072443                    "</f>
        <v xml:space="preserve">4170072443                    </v>
      </c>
      <c r="Q1224">
        <v>0</v>
      </c>
      <c r="R1224">
        <v>0</v>
      </c>
      <c r="S1224">
        <v>0</v>
      </c>
      <c r="T1224">
        <v>0</v>
      </c>
      <c r="U1224">
        <v>0</v>
      </c>
      <c r="V1224">
        <v>0</v>
      </c>
      <c r="W1224">
        <v>0</v>
      </c>
      <c r="X1224">
        <v>0</v>
      </c>
      <c r="Y1224">
        <v>0</v>
      </c>
      <c r="Z1224">
        <v>0</v>
      </c>
      <c r="AA1224">
        <v>0</v>
      </c>
      <c r="AB1224">
        <v>0</v>
      </c>
      <c r="AC1224">
        <v>0</v>
      </c>
      <c r="AD1224">
        <v>0</v>
      </c>
      <c r="AE1224">
        <v>0</v>
      </c>
      <c r="AF1224">
        <v>0</v>
      </c>
      <c r="AG1224">
        <v>0</v>
      </c>
      <c r="AH1224">
        <v>0</v>
      </c>
      <c r="AI1224">
        <v>0</v>
      </c>
      <c r="AJ1224">
        <v>0</v>
      </c>
      <c r="AK1224">
        <v>0</v>
      </c>
      <c r="AL1224">
        <v>0</v>
      </c>
      <c r="AM1224">
        <v>0</v>
      </c>
      <c r="AN1224">
        <v>0</v>
      </c>
      <c r="AO1224">
        <v>0</v>
      </c>
      <c r="AP1224">
        <v>0</v>
      </c>
      <c r="AQ1224">
        <v>25.52</v>
      </c>
      <c r="AR1224">
        <v>0</v>
      </c>
      <c r="AS1224">
        <v>0</v>
      </c>
      <c r="AT1224">
        <v>0</v>
      </c>
      <c r="AU1224">
        <v>0</v>
      </c>
      <c r="AV1224">
        <v>0</v>
      </c>
      <c r="AW1224">
        <v>0</v>
      </c>
      <c r="AX1224">
        <v>0</v>
      </c>
      <c r="AY1224">
        <v>0</v>
      </c>
      <c r="AZ1224">
        <v>0</v>
      </c>
      <c r="BA1224">
        <v>0</v>
      </c>
      <c r="BB1224">
        <v>0</v>
      </c>
      <c r="BC1224">
        <v>0</v>
      </c>
      <c r="BD1224">
        <v>0</v>
      </c>
      <c r="BE1224">
        <v>0</v>
      </c>
      <c r="BF1224">
        <v>0</v>
      </c>
      <c r="BG1224">
        <v>0</v>
      </c>
      <c r="BH1224">
        <v>1</v>
      </c>
      <c r="BI1224">
        <v>0.2</v>
      </c>
      <c r="BJ1224">
        <v>1.2</v>
      </c>
      <c r="BK1224">
        <v>1.5</v>
      </c>
      <c r="BL1224">
        <v>76.06</v>
      </c>
      <c r="BM1224">
        <v>11.41</v>
      </c>
      <c r="BN1224">
        <v>87.47</v>
      </c>
      <c r="BO1224">
        <v>87.47</v>
      </c>
      <c r="BQ1224" t="s">
        <v>1588</v>
      </c>
      <c r="BR1224" t="s">
        <v>82</v>
      </c>
      <c r="BS1224" s="3">
        <v>46001</v>
      </c>
      <c r="BT1224" s="4">
        <v>0.39444444444444443</v>
      </c>
      <c r="BU1224" t="s">
        <v>1589</v>
      </c>
      <c r="BV1224" t="s">
        <v>84</v>
      </c>
      <c r="BY1224">
        <v>6172.2</v>
      </c>
      <c r="CA1224">
        <v>8801165859086</v>
      </c>
      <c r="CC1224" t="s">
        <v>303</v>
      </c>
      <c r="CD1224" s="5" t="s">
        <v>1590</v>
      </c>
      <c r="CE1224" t="s">
        <v>86</v>
      </c>
      <c r="CI1224">
        <v>1</v>
      </c>
      <c r="CJ1224">
        <v>1</v>
      </c>
      <c r="CK1224">
        <v>21</v>
      </c>
      <c r="CL1224" t="s">
        <v>87</v>
      </c>
    </row>
    <row r="1225" spans="1:90" x14ac:dyDescent="0.3">
      <c r="A1225" t="s">
        <v>72</v>
      </c>
      <c r="B1225" t="s">
        <v>73</v>
      </c>
      <c r="C1225" t="s">
        <v>74</v>
      </c>
      <c r="E1225" t="str">
        <f>"080069790222"</f>
        <v>080069790222</v>
      </c>
      <c r="F1225" s="3">
        <v>46000</v>
      </c>
      <c r="G1225">
        <v>202609</v>
      </c>
      <c r="H1225" t="s">
        <v>75</v>
      </c>
      <c r="I1225" t="s">
        <v>76</v>
      </c>
      <c r="J1225" t="s">
        <v>77</v>
      </c>
      <c r="K1225" t="s">
        <v>78</v>
      </c>
      <c r="L1225" t="s">
        <v>265</v>
      </c>
      <c r="M1225" t="s">
        <v>266</v>
      </c>
      <c r="N1225" t="s">
        <v>474</v>
      </c>
      <c r="O1225" t="s">
        <v>89</v>
      </c>
      <c r="P1225" t="str">
        <f>"4170072612                    "</f>
        <v xml:space="preserve">4170072612                    </v>
      </c>
      <c r="Q1225">
        <v>0</v>
      </c>
      <c r="R1225">
        <v>0</v>
      </c>
      <c r="S1225">
        <v>0</v>
      </c>
      <c r="T1225">
        <v>0</v>
      </c>
      <c r="U1225">
        <v>0</v>
      </c>
      <c r="V1225">
        <v>0</v>
      </c>
      <c r="W1225">
        <v>0</v>
      </c>
      <c r="X1225">
        <v>0</v>
      </c>
      <c r="Y1225">
        <v>0</v>
      </c>
      <c r="Z1225">
        <v>0</v>
      </c>
      <c r="AA1225">
        <v>0</v>
      </c>
      <c r="AB1225">
        <v>0</v>
      </c>
      <c r="AC1225">
        <v>0</v>
      </c>
      <c r="AD1225">
        <v>0</v>
      </c>
      <c r="AE1225">
        <v>0</v>
      </c>
      <c r="AF1225">
        <v>0</v>
      </c>
      <c r="AG1225">
        <v>0</v>
      </c>
      <c r="AH1225">
        <v>0</v>
      </c>
      <c r="AI1225">
        <v>0</v>
      </c>
      <c r="AJ1225">
        <v>0</v>
      </c>
      <c r="AK1225">
        <v>0</v>
      </c>
      <c r="AL1225">
        <v>0</v>
      </c>
      <c r="AM1225">
        <v>0</v>
      </c>
      <c r="AN1225">
        <v>0</v>
      </c>
      <c r="AO1225">
        <v>0</v>
      </c>
      <c r="AP1225">
        <v>0</v>
      </c>
      <c r="AQ1225">
        <v>19.940000000000001</v>
      </c>
      <c r="AR1225">
        <v>0</v>
      </c>
      <c r="AS1225">
        <v>0</v>
      </c>
      <c r="AT1225">
        <v>0</v>
      </c>
      <c r="AU1225">
        <v>0</v>
      </c>
      <c r="AV1225">
        <v>0</v>
      </c>
      <c r="AW1225">
        <v>0</v>
      </c>
      <c r="AX1225">
        <v>0</v>
      </c>
      <c r="AY1225">
        <v>0</v>
      </c>
      <c r="AZ1225">
        <v>0</v>
      </c>
      <c r="BA1225">
        <v>0</v>
      </c>
      <c r="BB1225">
        <v>0</v>
      </c>
      <c r="BC1225">
        <v>0</v>
      </c>
      <c r="BD1225">
        <v>0</v>
      </c>
      <c r="BE1225">
        <v>0</v>
      </c>
      <c r="BF1225">
        <v>0</v>
      </c>
      <c r="BG1225">
        <v>0</v>
      </c>
      <c r="BH1225">
        <v>1</v>
      </c>
      <c r="BI1225">
        <v>3</v>
      </c>
      <c r="BJ1225">
        <v>2</v>
      </c>
      <c r="BK1225">
        <v>3</v>
      </c>
      <c r="BL1225">
        <v>59.42</v>
      </c>
      <c r="BM1225">
        <v>8.91</v>
      </c>
      <c r="BN1225">
        <v>68.33</v>
      </c>
      <c r="BO1225">
        <v>68.33</v>
      </c>
      <c r="BQ1225" t="s">
        <v>475</v>
      </c>
      <c r="BR1225" t="s">
        <v>82</v>
      </c>
      <c r="BS1225" s="3">
        <v>46001</v>
      </c>
      <c r="BT1225" s="4">
        <v>0.35694444444444445</v>
      </c>
      <c r="BU1225" t="s">
        <v>723</v>
      </c>
      <c r="BV1225" t="s">
        <v>84</v>
      </c>
      <c r="BY1225">
        <v>9900</v>
      </c>
      <c r="CA1225" t="s">
        <v>417</v>
      </c>
      <c r="CC1225" t="s">
        <v>266</v>
      </c>
      <c r="CD1225">
        <v>1459</v>
      </c>
      <c r="CE1225" t="s">
        <v>86</v>
      </c>
      <c r="CF1225" s="3">
        <v>46001</v>
      </c>
      <c r="CI1225">
        <v>1</v>
      </c>
      <c r="CJ1225">
        <v>1</v>
      </c>
      <c r="CK1225">
        <v>22</v>
      </c>
      <c r="CL1225" t="s">
        <v>87</v>
      </c>
    </row>
    <row r="1226" spans="1:90" x14ac:dyDescent="0.3">
      <c r="A1226" t="s">
        <v>72</v>
      </c>
      <c r="B1226" t="s">
        <v>73</v>
      </c>
      <c r="C1226" t="s">
        <v>74</v>
      </c>
      <c r="E1226" t="str">
        <f>"080069790279"</f>
        <v>080069790279</v>
      </c>
      <c r="F1226" s="3">
        <v>46000</v>
      </c>
      <c r="G1226">
        <v>202609</v>
      </c>
      <c r="H1226" t="s">
        <v>75</v>
      </c>
      <c r="I1226" t="s">
        <v>76</v>
      </c>
      <c r="J1226" t="s">
        <v>77</v>
      </c>
      <c r="K1226" t="s">
        <v>78</v>
      </c>
      <c r="L1226" t="s">
        <v>302</v>
      </c>
      <c r="M1226" t="s">
        <v>303</v>
      </c>
      <c r="N1226" t="s">
        <v>786</v>
      </c>
      <c r="O1226" t="s">
        <v>89</v>
      </c>
      <c r="P1226" t="str">
        <f>"4170072609                    "</f>
        <v xml:space="preserve">4170072609                    </v>
      </c>
      <c r="Q1226">
        <v>0</v>
      </c>
      <c r="R1226">
        <v>0</v>
      </c>
      <c r="S1226">
        <v>0</v>
      </c>
      <c r="T1226">
        <v>0</v>
      </c>
      <c r="U1226">
        <v>0</v>
      </c>
      <c r="V1226">
        <v>0</v>
      </c>
      <c r="W1226">
        <v>0</v>
      </c>
      <c r="X1226">
        <v>0</v>
      </c>
      <c r="Y1226">
        <v>0</v>
      </c>
      <c r="Z1226">
        <v>0</v>
      </c>
      <c r="AA1226">
        <v>0</v>
      </c>
      <c r="AB1226">
        <v>0</v>
      </c>
      <c r="AC1226">
        <v>0</v>
      </c>
      <c r="AD1226">
        <v>0</v>
      </c>
      <c r="AE1226">
        <v>0</v>
      </c>
      <c r="AF1226">
        <v>0</v>
      </c>
      <c r="AG1226">
        <v>0</v>
      </c>
      <c r="AH1226">
        <v>0</v>
      </c>
      <c r="AI1226">
        <v>0</v>
      </c>
      <c r="AJ1226">
        <v>0</v>
      </c>
      <c r="AK1226">
        <v>0</v>
      </c>
      <c r="AL1226">
        <v>0</v>
      </c>
      <c r="AM1226">
        <v>0</v>
      </c>
      <c r="AN1226">
        <v>0</v>
      </c>
      <c r="AO1226">
        <v>0</v>
      </c>
      <c r="AP1226">
        <v>0</v>
      </c>
      <c r="AQ1226">
        <v>25.52</v>
      </c>
      <c r="AR1226">
        <v>0</v>
      </c>
      <c r="AS1226">
        <v>0</v>
      </c>
      <c r="AT1226">
        <v>0</v>
      </c>
      <c r="AU1226">
        <v>0</v>
      </c>
      <c r="AV1226">
        <v>0</v>
      </c>
      <c r="AW1226">
        <v>0</v>
      </c>
      <c r="AX1226">
        <v>0</v>
      </c>
      <c r="AY1226">
        <v>0</v>
      </c>
      <c r="AZ1226">
        <v>0</v>
      </c>
      <c r="BA1226">
        <v>0</v>
      </c>
      <c r="BB1226">
        <v>0</v>
      </c>
      <c r="BC1226">
        <v>0</v>
      </c>
      <c r="BD1226">
        <v>0</v>
      </c>
      <c r="BE1226">
        <v>0</v>
      </c>
      <c r="BF1226">
        <v>0</v>
      </c>
      <c r="BG1226">
        <v>0</v>
      </c>
      <c r="BH1226">
        <v>1</v>
      </c>
      <c r="BI1226">
        <v>0.2</v>
      </c>
      <c r="BJ1226">
        <v>0.8</v>
      </c>
      <c r="BK1226">
        <v>1</v>
      </c>
      <c r="BL1226">
        <v>76.06</v>
      </c>
      <c r="BM1226">
        <v>11.41</v>
      </c>
      <c r="BN1226">
        <v>87.47</v>
      </c>
      <c r="BO1226">
        <v>87.47</v>
      </c>
      <c r="BQ1226" t="s">
        <v>787</v>
      </c>
      <c r="BR1226" t="s">
        <v>82</v>
      </c>
      <c r="BS1226" s="3">
        <v>46001</v>
      </c>
      <c r="BT1226" s="4">
        <v>0.41805555555555557</v>
      </c>
      <c r="BU1226" t="s">
        <v>1604</v>
      </c>
      <c r="BV1226" t="s">
        <v>84</v>
      </c>
      <c r="BY1226">
        <v>4184.7</v>
      </c>
      <c r="CA1226">
        <v>8303236124087</v>
      </c>
      <c r="CC1226" t="s">
        <v>303</v>
      </c>
      <c r="CD1226" s="5" t="s">
        <v>307</v>
      </c>
      <c r="CE1226" t="s">
        <v>86</v>
      </c>
      <c r="CI1226">
        <v>1</v>
      </c>
      <c r="CJ1226">
        <v>1</v>
      </c>
      <c r="CK1226">
        <v>21</v>
      </c>
      <c r="CL1226" t="s">
        <v>87</v>
      </c>
    </row>
    <row r="1227" spans="1:90" x14ac:dyDescent="0.3">
      <c r="A1227" t="s">
        <v>72</v>
      </c>
      <c r="B1227" t="s">
        <v>73</v>
      </c>
      <c r="C1227" t="s">
        <v>74</v>
      </c>
      <c r="E1227" t="str">
        <f>"080069790283"</f>
        <v>080069790283</v>
      </c>
      <c r="F1227" s="3">
        <v>46000</v>
      </c>
      <c r="G1227">
        <v>202609</v>
      </c>
      <c r="H1227" t="s">
        <v>75</v>
      </c>
      <c r="I1227" t="s">
        <v>76</v>
      </c>
      <c r="J1227" t="s">
        <v>77</v>
      </c>
      <c r="K1227" t="s">
        <v>78</v>
      </c>
      <c r="L1227" t="s">
        <v>458</v>
      </c>
      <c r="M1227" t="s">
        <v>459</v>
      </c>
      <c r="N1227" t="s">
        <v>1956</v>
      </c>
      <c r="O1227" t="s">
        <v>89</v>
      </c>
      <c r="P1227" t="str">
        <f>"4170072658                    "</f>
        <v xml:space="preserve">4170072658                    </v>
      </c>
      <c r="Q1227">
        <v>0</v>
      </c>
      <c r="R1227">
        <v>0</v>
      </c>
      <c r="S1227">
        <v>0</v>
      </c>
      <c r="T1227">
        <v>0</v>
      </c>
      <c r="U1227">
        <v>0</v>
      </c>
      <c r="V1227">
        <v>0</v>
      </c>
      <c r="W1227">
        <v>0</v>
      </c>
      <c r="X1227">
        <v>0</v>
      </c>
      <c r="Y1227">
        <v>0</v>
      </c>
      <c r="Z1227">
        <v>0</v>
      </c>
      <c r="AA1227">
        <v>0</v>
      </c>
      <c r="AB1227">
        <v>0</v>
      </c>
      <c r="AC1227">
        <v>0</v>
      </c>
      <c r="AD1227">
        <v>0</v>
      </c>
      <c r="AE1227">
        <v>0</v>
      </c>
      <c r="AF1227">
        <v>0</v>
      </c>
      <c r="AG1227">
        <v>0</v>
      </c>
      <c r="AH1227">
        <v>0</v>
      </c>
      <c r="AI1227">
        <v>0</v>
      </c>
      <c r="AJ1227">
        <v>0</v>
      </c>
      <c r="AK1227">
        <v>0</v>
      </c>
      <c r="AL1227">
        <v>0</v>
      </c>
      <c r="AM1227">
        <v>0</v>
      </c>
      <c r="AN1227">
        <v>0</v>
      </c>
      <c r="AO1227">
        <v>0</v>
      </c>
      <c r="AP1227">
        <v>0</v>
      </c>
      <c r="AQ1227">
        <v>71.790000000000006</v>
      </c>
      <c r="AR1227">
        <v>0</v>
      </c>
      <c r="AS1227">
        <v>0</v>
      </c>
      <c r="AT1227">
        <v>0</v>
      </c>
      <c r="AU1227">
        <v>0</v>
      </c>
      <c r="AV1227">
        <v>0</v>
      </c>
      <c r="AW1227">
        <v>0</v>
      </c>
      <c r="AX1227">
        <v>0</v>
      </c>
      <c r="AY1227">
        <v>0</v>
      </c>
      <c r="AZ1227">
        <v>0</v>
      </c>
      <c r="BA1227">
        <v>0</v>
      </c>
      <c r="BB1227">
        <v>0</v>
      </c>
      <c r="BC1227">
        <v>0</v>
      </c>
      <c r="BD1227">
        <v>0</v>
      </c>
      <c r="BE1227">
        <v>0</v>
      </c>
      <c r="BF1227">
        <v>0</v>
      </c>
      <c r="BG1227">
        <v>0</v>
      </c>
      <c r="BH1227">
        <v>1</v>
      </c>
      <c r="BI1227">
        <v>0.2</v>
      </c>
      <c r="BJ1227">
        <v>2.7</v>
      </c>
      <c r="BK1227">
        <v>3</v>
      </c>
      <c r="BL1227">
        <v>213.94</v>
      </c>
      <c r="BM1227">
        <v>32.090000000000003</v>
      </c>
      <c r="BN1227">
        <v>246.03</v>
      </c>
      <c r="BO1227">
        <v>246.03</v>
      </c>
      <c r="BQ1227" t="s">
        <v>1957</v>
      </c>
      <c r="BR1227" t="s">
        <v>82</v>
      </c>
      <c r="BS1227" s="3">
        <v>46001</v>
      </c>
      <c r="BT1227" s="4">
        <v>0.41666666666666669</v>
      </c>
      <c r="BU1227" t="s">
        <v>1958</v>
      </c>
      <c r="BV1227" t="s">
        <v>84</v>
      </c>
      <c r="BY1227">
        <v>13647.69</v>
      </c>
      <c r="CA1227" t="s">
        <v>1959</v>
      </c>
      <c r="CC1227" t="s">
        <v>459</v>
      </c>
      <c r="CD1227">
        <v>7130</v>
      </c>
      <c r="CE1227" t="s">
        <v>86</v>
      </c>
      <c r="CF1227" s="3">
        <v>46002</v>
      </c>
      <c r="CI1227">
        <v>1</v>
      </c>
      <c r="CJ1227">
        <v>1</v>
      </c>
      <c r="CK1227">
        <v>23</v>
      </c>
      <c r="CL1227" t="s">
        <v>87</v>
      </c>
    </row>
    <row r="1228" spans="1:90" x14ac:dyDescent="0.3">
      <c r="A1228" t="s">
        <v>72</v>
      </c>
      <c r="B1228" t="s">
        <v>73</v>
      </c>
      <c r="C1228" t="s">
        <v>74</v>
      </c>
      <c r="E1228" t="str">
        <f>"080069790325"</f>
        <v>080069790325</v>
      </c>
      <c r="F1228" s="3">
        <v>46000</v>
      </c>
      <c r="G1228">
        <v>202609</v>
      </c>
      <c r="H1228" t="s">
        <v>75</v>
      </c>
      <c r="I1228" t="s">
        <v>76</v>
      </c>
      <c r="J1228" t="s">
        <v>77</v>
      </c>
      <c r="K1228" t="s">
        <v>78</v>
      </c>
      <c r="L1228" t="s">
        <v>265</v>
      </c>
      <c r="M1228" t="s">
        <v>266</v>
      </c>
      <c r="N1228" t="s">
        <v>414</v>
      </c>
      <c r="O1228" t="s">
        <v>89</v>
      </c>
      <c r="P1228" t="str">
        <f>"4170072708                    "</f>
        <v xml:space="preserve">4170072708                    </v>
      </c>
      <c r="Q1228">
        <v>0</v>
      </c>
      <c r="R1228">
        <v>0</v>
      </c>
      <c r="S1228">
        <v>0</v>
      </c>
      <c r="T1228">
        <v>0</v>
      </c>
      <c r="U1228">
        <v>0</v>
      </c>
      <c r="V1228">
        <v>0</v>
      </c>
      <c r="W1228">
        <v>0</v>
      </c>
      <c r="X1228">
        <v>0</v>
      </c>
      <c r="Y1228">
        <v>0</v>
      </c>
      <c r="Z1228">
        <v>0</v>
      </c>
      <c r="AA1228">
        <v>0</v>
      </c>
      <c r="AB1228">
        <v>0</v>
      </c>
      <c r="AC1228">
        <v>0</v>
      </c>
      <c r="AD1228">
        <v>0</v>
      </c>
      <c r="AE1228">
        <v>0</v>
      </c>
      <c r="AF1228">
        <v>0</v>
      </c>
      <c r="AG1228">
        <v>0</v>
      </c>
      <c r="AH1228">
        <v>0</v>
      </c>
      <c r="AI1228">
        <v>0</v>
      </c>
      <c r="AJ1228">
        <v>0</v>
      </c>
      <c r="AK1228">
        <v>0</v>
      </c>
      <c r="AL1228">
        <v>0</v>
      </c>
      <c r="AM1228">
        <v>0</v>
      </c>
      <c r="AN1228">
        <v>0</v>
      </c>
      <c r="AO1228">
        <v>0</v>
      </c>
      <c r="AP1228">
        <v>0</v>
      </c>
      <c r="AQ1228">
        <v>19.940000000000001</v>
      </c>
      <c r="AR1228">
        <v>0</v>
      </c>
      <c r="AS1228">
        <v>0</v>
      </c>
      <c r="AT1228">
        <v>0</v>
      </c>
      <c r="AU1228">
        <v>0</v>
      </c>
      <c r="AV1228">
        <v>0</v>
      </c>
      <c r="AW1228">
        <v>0</v>
      </c>
      <c r="AX1228">
        <v>0</v>
      </c>
      <c r="AY1228">
        <v>0</v>
      </c>
      <c r="AZ1228">
        <v>0</v>
      </c>
      <c r="BA1228">
        <v>0</v>
      </c>
      <c r="BB1228">
        <v>0</v>
      </c>
      <c r="BC1228">
        <v>0</v>
      </c>
      <c r="BD1228">
        <v>0</v>
      </c>
      <c r="BE1228">
        <v>0</v>
      </c>
      <c r="BF1228">
        <v>0</v>
      </c>
      <c r="BG1228">
        <v>0</v>
      </c>
      <c r="BH1228">
        <v>1</v>
      </c>
      <c r="BI1228">
        <v>0.2</v>
      </c>
      <c r="BJ1228">
        <v>1.5</v>
      </c>
      <c r="BK1228">
        <v>2</v>
      </c>
      <c r="BL1228">
        <v>59.42</v>
      </c>
      <c r="BM1228">
        <v>8.91</v>
      </c>
      <c r="BN1228">
        <v>68.33</v>
      </c>
      <c r="BO1228">
        <v>68.33</v>
      </c>
      <c r="BQ1228" t="s">
        <v>415</v>
      </c>
      <c r="BR1228" t="s">
        <v>82</v>
      </c>
      <c r="BS1228" s="3">
        <v>46001</v>
      </c>
      <c r="BT1228" s="4">
        <v>0.32291666666666669</v>
      </c>
      <c r="BU1228" t="s">
        <v>416</v>
      </c>
      <c r="BV1228" t="s">
        <v>84</v>
      </c>
      <c r="BY1228">
        <v>7648.17</v>
      </c>
      <c r="CA1228" t="s">
        <v>417</v>
      </c>
      <c r="CC1228" t="s">
        <v>266</v>
      </c>
      <c r="CD1228">
        <v>1459</v>
      </c>
      <c r="CE1228" t="s">
        <v>86</v>
      </c>
      <c r="CF1228" s="3">
        <v>46001</v>
      </c>
      <c r="CI1228">
        <v>1</v>
      </c>
      <c r="CJ1228">
        <v>1</v>
      </c>
      <c r="CK1228">
        <v>22</v>
      </c>
      <c r="CL1228" t="s">
        <v>87</v>
      </c>
    </row>
    <row r="1229" spans="1:90" x14ac:dyDescent="0.3">
      <c r="A1229" t="s">
        <v>72</v>
      </c>
      <c r="B1229" t="s">
        <v>73</v>
      </c>
      <c r="C1229" t="s">
        <v>74</v>
      </c>
      <c r="E1229" t="str">
        <f>"080069790329"</f>
        <v>080069790329</v>
      </c>
      <c r="F1229" s="3">
        <v>46000</v>
      </c>
      <c r="G1229">
        <v>202609</v>
      </c>
      <c r="H1229" t="s">
        <v>75</v>
      </c>
      <c r="I1229" t="s">
        <v>76</v>
      </c>
      <c r="J1229" t="s">
        <v>77</v>
      </c>
      <c r="K1229" t="s">
        <v>78</v>
      </c>
      <c r="L1229" t="s">
        <v>128</v>
      </c>
      <c r="M1229" t="s">
        <v>129</v>
      </c>
      <c r="N1229" t="s">
        <v>1688</v>
      </c>
      <c r="O1229" t="s">
        <v>89</v>
      </c>
      <c r="P1229" t="str">
        <f>"4170072676                    "</f>
        <v xml:space="preserve">4170072676                    </v>
      </c>
      <c r="Q1229">
        <v>0</v>
      </c>
      <c r="R1229">
        <v>0</v>
      </c>
      <c r="S1229">
        <v>0</v>
      </c>
      <c r="T1229">
        <v>0</v>
      </c>
      <c r="U1229">
        <v>0</v>
      </c>
      <c r="V1229">
        <v>0</v>
      </c>
      <c r="W1229">
        <v>0</v>
      </c>
      <c r="X1229">
        <v>0</v>
      </c>
      <c r="Y1229">
        <v>0</v>
      </c>
      <c r="Z1229">
        <v>0</v>
      </c>
      <c r="AA1229">
        <v>0</v>
      </c>
      <c r="AB1229">
        <v>0</v>
      </c>
      <c r="AC1229">
        <v>0</v>
      </c>
      <c r="AD1229">
        <v>0</v>
      </c>
      <c r="AE1229">
        <v>0</v>
      </c>
      <c r="AF1229">
        <v>0</v>
      </c>
      <c r="AG1229">
        <v>0</v>
      </c>
      <c r="AH1229">
        <v>0</v>
      </c>
      <c r="AI1229">
        <v>0</v>
      </c>
      <c r="AJ1229">
        <v>0</v>
      </c>
      <c r="AK1229">
        <v>0</v>
      </c>
      <c r="AL1229">
        <v>0</v>
      </c>
      <c r="AM1229">
        <v>0</v>
      </c>
      <c r="AN1229">
        <v>0</v>
      </c>
      <c r="AO1229">
        <v>0</v>
      </c>
      <c r="AP1229">
        <v>0</v>
      </c>
      <c r="AQ1229">
        <v>38.28</v>
      </c>
      <c r="AR1229">
        <v>0</v>
      </c>
      <c r="AS1229">
        <v>0</v>
      </c>
      <c r="AT1229">
        <v>0</v>
      </c>
      <c r="AU1229">
        <v>0</v>
      </c>
      <c r="AV1229">
        <v>0</v>
      </c>
      <c r="AW1229">
        <v>0</v>
      </c>
      <c r="AX1229">
        <v>0</v>
      </c>
      <c r="AY1229">
        <v>0</v>
      </c>
      <c r="AZ1229">
        <v>0</v>
      </c>
      <c r="BA1229">
        <v>0</v>
      </c>
      <c r="BB1229">
        <v>0</v>
      </c>
      <c r="BC1229">
        <v>0</v>
      </c>
      <c r="BD1229">
        <v>0</v>
      </c>
      <c r="BE1229">
        <v>0</v>
      </c>
      <c r="BF1229">
        <v>0</v>
      </c>
      <c r="BG1229">
        <v>0</v>
      </c>
      <c r="BH1229">
        <v>1</v>
      </c>
      <c r="BI1229">
        <v>0.7</v>
      </c>
      <c r="BJ1229">
        <v>2.7</v>
      </c>
      <c r="BK1229">
        <v>3</v>
      </c>
      <c r="BL1229">
        <v>114.08</v>
      </c>
      <c r="BM1229">
        <v>17.11</v>
      </c>
      <c r="BN1229">
        <v>131.19</v>
      </c>
      <c r="BO1229">
        <v>131.19</v>
      </c>
      <c r="BQ1229" t="s">
        <v>1689</v>
      </c>
      <c r="BR1229" t="s">
        <v>82</v>
      </c>
      <c r="BS1229" s="3">
        <v>46001</v>
      </c>
      <c r="BT1229" s="4">
        <v>0.58194444444444449</v>
      </c>
      <c r="BU1229" t="s">
        <v>1690</v>
      </c>
      <c r="BV1229" t="s">
        <v>84</v>
      </c>
      <c r="BY1229">
        <v>13285.8</v>
      </c>
      <c r="CA1229" t="s">
        <v>133</v>
      </c>
      <c r="CC1229" t="s">
        <v>129</v>
      </c>
      <c r="CD1229">
        <v>5201</v>
      </c>
      <c r="CE1229" t="s">
        <v>86</v>
      </c>
      <c r="CF1229" s="3">
        <v>46002</v>
      </c>
      <c r="CI1229">
        <v>5</v>
      </c>
      <c r="CJ1229">
        <v>1</v>
      </c>
      <c r="CK1229">
        <v>21</v>
      </c>
      <c r="CL1229" t="s">
        <v>87</v>
      </c>
    </row>
    <row r="1230" spans="1:90" x14ac:dyDescent="0.3">
      <c r="A1230" t="s">
        <v>72</v>
      </c>
      <c r="B1230" t="s">
        <v>73</v>
      </c>
      <c r="C1230" t="s">
        <v>74</v>
      </c>
      <c r="E1230" t="str">
        <f>"080069790377"</f>
        <v>080069790377</v>
      </c>
      <c r="F1230" s="3">
        <v>46000</v>
      </c>
      <c r="G1230">
        <v>202609</v>
      </c>
      <c r="H1230" t="s">
        <v>75</v>
      </c>
      <c r="I1230" t="s">
        <v>76</v>
      </c>
      <c r="J1230" t="s">
        <v>77</v>
      </c>
      <c r="K1230" t="s">
        <v>78</v>
      </c>
      <c r="L1230" t="s">
        <v>156</v>
      </c>
      <c r="M1230" t="s">
        <v>157</v>
      </c>
      <c r="N1230" t="s">
        <v>158</v>
      </c>
      <c r="O1230" t="s">
        <v>80</v>
      </c>
      <c r="P1230" t="str">
        <f>"4170072668                    "</f>
        <v xml:space="preserve">4170072668                    </v>
      </c>
      <c r="Q1230">
        <v>0</v>
      </c>
      <c r="R1230">
        <v>0</v>
      </c>
      <c r="S1230">
        <v>0</v>
      </c>
      <c r="T1230">
        <v>0</v>
      </c>
      <c r="U1230">
        <v>0</v>
      </c>
      <c r="V1230">
        <v>0</v>
      </c>
      <c r="W1230">
        <v>0</v>
      </c>
      <c r="X1230">
        <v>0</v>
      </c>
      <c r="Y1230">
        <v>0</v>
      </c>
      <c r="Z1230">
        <v>0</v>
      </c>
      <c r="AA1230">
        <v>0</v>
      </c>
      <c r="AB1230">
        <v>0</v>
      </c>
      <c r="AC1230">
        <v>0</v>
      </c>
      <c r="AD1230">
        <v>0</v>
      </c>
      <c r="AE1230">
        <v>0</v>
      </c>
      <c r="AF1230">
        <v>0</v>
      </c>
      <c r="AG1230">
        <v>0</v>
      </c>
      <c r="AH1230">
        <v>0</v>
      </c>
      <c r="AI1230">
        <v>0</v>
      </c>
      <c r="AJ1230">
        <v>0</v>
      </c>
      <c r="AK1230">
        <v>0</v>
      </c>
      <c r="AL1230">
        <v>0</v>
      </c>
      <c r="AM1230">
        <v>0</v>
      </c>
      <c r="AN1230">
        <v>0</v>
      </c>
      <c r="AO1230">
        <v>0</v>
      </c>
      <c r="AP1230">
        <v>0</v>
      </c>
      <c r="AQ1230">
        <v>55.48</v>
      </c>
      <c r="AR1230">
        <v>0</v>
      </c>
      <c r="AS1230">
        <v>0</v>
      </c>
      <c r="AT1230">
        <v>0</v>
      </c>
      <c r="AU1230">
        <v>0</v>
      </c>
      <c r="AV1230">
        <v>0</v>
      </c>
      <c r="AW1230">
        <v>0</v>
      </c>
      <c r="AX1230">
        <v>0</v>
      </c>
      <c r="AY1230">
        <v>0</v>
      </c>
      <c r="AZ1230">
        <v>0</v>
      </c>
      <c r="BA1230">
        <v>0</v>
      </c>
      <c r="BB1230">
        <v>0</v>
      </c>
      <c r="BC1230">
        <v>0</v>
      </c>
      <c r="BD1230">
        <v>0</v>
      </c>
      <c r="BE1230">
        <v>0</v>
      </c>
      <c r="BF1230">
        <v>0</v>
      </c>
      <c r="BG1230">
        <v>0</v>
      </c>
      <c r="BH1230">
        <v>1</v>
      </c>
      <c r="BI1230">
        <v>17.3</v>
      </c>
      <c r="BJ1230">
        <v>10.6</v>
      </c>
      <c r="BK1230">
        <v>18</v>
      </c>
      <c r="BL1230">
        <v>171.44</v>
      </c>
      <c r="BM1230">
        <v>25.72</v>
      </c>
      <c r="BN1230">
        <v>197.16</v>
      </c>
      <c r="BO1230">
        <v>197.16</v>
      </c>
      <c r="BQ1230" t="s">
        <v>159</v>
      </c>
      <c r="BR1230" t="s">
        <v>82</v>
      </c>
      <c r="BS1230" s="3">
        <v>46002</v>
      </c>
      <c r="BT1230" s="4">
        <v>0.53402777777777777</v>
      </c>
      <c r="BU1230" t="s">
        <v>1875</v>
      </c>
      <c r="BV1230" t="s">
        <v>84</v>
      </c>
      <c r="BY1230">
        <v>52840.2</v>
      </c>
      <c r="CA1230" t="s">
        <v>1876</v>
      </c>
      <c r="CC1230" t="s">
        <v>157</v>
      </c>
      <c r="CD1230">
        <v>7530</v>
      </c>
      <c r="CE1230" t="s">
        <v>86</v>
      </c>
      <c r="CI1230">
        <v>3</v>
      </c>
      <c r="CJ1230">
        <v>2</v>
      </c>
      <c r="CK1230">
        <v>41</v>
      </c>
      <c r="CL1230" t="s">
        <v>87</v>
      </c>
    </row>
    <row r="1231" spans="1:90" x14ac:dyDescent="0.3">
      <c r="A1231" t="s">
        <v>72</v>
      </c>
      <c r="B1231" t="s">
        <v>73</v>
      </c>
      <c r="C1231" t="s">
        <v>74</v>
      </c>
      <c r="E1231" t="str">
        <f>"080069790393"</f>
        <v>080069790393</v>
      </c>
      <c r="F1231" s="3">
        <v>46000</v>
      </c>
      <c r="G1231">
        <v>202609</v>
      </c>
      <c r="H1231" t="s">
        <v>75</v>
      </c>
      <c r="I1231" t="s">
        <v>76</v>
      </c>
      <c r="J1231" t="s">
        <v>77</v>
      </c>
      <c r="K1231" t="s">
        <v>78</v>
      </c>
      <c r="L1231" t="s">
        <v>692</v>
      </c>
      <c r="M1231" t="s">
        <v>693</v>
      </c>
      <c r="N1231" t="s">
        <v>1960</v>
      </c>
      <c r="O1231" t="s">
        <v>80</v>
      </c>
      <c r="P1231" t="str">
        <f>"4170072613                    "</f>
        <v xml:space="preserve">4170072613                    </v>
      </c>
      <c r="Q1231">
        <v>0</v>
      </c>
      <c r="R1231">
        <v>0</v>
      </c>
      <c r="S1231">
        <v>0</v>
      </c>
      <c r="T1231">
        <v>0</v>
      </c>
      <c r="U1231">
        <v>0</v>
      </c>
      <c r="V1231">
        <v>0</v>
      </c>
      <c r="W1231">
        <v>0</v>
      </c>
      <c r="X1231">
        <v>0</v>
      </c>
      <c r="Y1231">
        <v>0</v>
      </c>
      <c r="Z1231">
        <v>0</v>
      </c>
      <c r="AA1231">
        <v>0</v>
      </c>
      <c r="AB1231">
        <v>0</v>
      </c>
      <c r="AC1231">
        <v>0</v>
      </c>
      <c r="AD1231">
        <v>0</v>
      </c>
      <c r="AE1231">
        <v>0</v>
      </c>
      <c r="AF1231">
        <v>0</v>
      </c>
      <c r="AG1231">
        <v>0</v>
      </c>
      <c r="AH1231">
        <v>0</v>
      </c>
      <c r="AI1231">
        <v>0</v>
      </c>
      <c r="AJ1231">
        <v>0</v>
      </c>
      <c r="AK1231">
        <v>0</v>
      </c>
      <c r="AL1231">
        <v>0</v>
      </c>
      <c r="AM1231">
        <v>0</v>
      </c>
      <c r="AN1231">
        <v>0</v>
      </c>
      <c r="AO1231">
        <v>0</v>
      </c>
      <c r="AP1231">
        <v>0</v>
      </c>
      <c r="AQ1231">
        <v>75.87</v>
      </c>
      <c r="AR1231">
        <v>0</v>
      </c>
      <c r="AS1231">
        <v>0</v>
      </c>
      <c r="AT1231">
        <v>0</v>
      </c>
      <c r="AU1231">
        <v>0</v>
      </c>
      <c r="AV1231">
        <v>0</v>
      </c>
      <c r="AW1231">
        <v>0</v>
      </c>
      <c r="AX1231">
        <v>0</v>
      </c>
      <c r="AY1231">
        <v>0</v>
      </c>
      <c r="AZ1231">
        <v>0</v>
      </c>
      <c r="BA1231">
        <v>0</v>
      </c>
      <c r="BB1231">
        <v>0</v>
      </c>
      <c r="BC1231">
        <v>0</v>
      </c>
      <c r="BD1231">
        <v>0</v>
      </c>
      <c r="BE1231">
        <v>0</v>
      </c>
      <c r="BF1231">
        <v>0</v>
      </c>
      <c r="BG1231">
        <v>0</v>
      </c>
      <c r="BH1231">
        <v>1</v>
      </c>
      <c r="BI1231">
        <v>11.4</v>
      </c>
      <c r="BJ1231">
        <v>29.3</v>
      </c>
      <c r="BK1231">
        <v>30</v>
      </c>
      <c r="BL1231">
        <v>232.21</v>
      </c>
      <c r="BM1231">
        <v>34.83</v>
      </c>
      <c r="BN1231">
        <v>267.04000000000002</v>
      </c>
      <c r="BO1231">
        <v>267.04000000000002</v>
      </c>
      <c r="BQ1231" t="s">
        <v>1961</v>
      </c>
      <c r="BR1231" t="s">
        <v>82</v>
      </c>
      <c r="BS1231" s="3">
        <v>46001</v>
      </c>
      <c r="BT1231" s="4">
        <v>0.41319444444444442</v>
      </c>
      <c r="BU1231" t="s">
        <v>1962</v>
      </c>
      <c r="BV1231" t="s">
        <v>84</v>
      </c>
      <c r="BY1231">
        <v>146358.72</v>
      </c>
      <c r="CA1231" t="s">
        <v>697</v>
      </c>
      <c r="CC1231" t="s">
        <v>693</v>
      </c>
      <c r="CD1231">
        <v>1759</v>
      </c>
      <c r="CE1231" t="s">
        <v>86</v>
      </c>
      <c r="CF1231" s="3">
        <v>46001</v>
      </c>
      <c r="CI1231">
        <v>1</v>
      </c>
      <c r="CJ1231">
        <v>1</v>
      </c>
      <c r="CK1231">
        <v>44</v>
      </c>
      <c r="CL1231" t="s">
        <v>87</v>
      </c>
    </row>
    <row r="1232" spans="1:90" x14ac:dyDescent="0.3">
      <c r="A1232" t="s">
        <v>72</v>
      </c>
      <c r="B1232" t="s">
        <v>73</v>
      </c>
      <c r="C1232" t="s">
        <v>74</v>
      </c>
      <c r="E1232" t="str">
        <f>"080069790441"</f>
        <v>080069790441</v>
      </c>
      <c r="F1232" s="3">
        <v>46000</v>
      </c>
      <c r="G1232">
        <v>202609</v>
      </c>
      <c r="H1232" t="s">
        <v>75</v>
      </c>
      <c r="I1232" t="s">
        <v>76</v>
      </c>
      <c r="J1232" t="s">
        <v>77</v>
      </c>
      <c r="K1232" t="s">
        <v>78</v>
      </c>
      <c r="L1232" t="s">
        <v>482</v>
      </c>
      <c r="M1232" t="s">
        <v>483</v>
      </c>
      <c r="N1232" t="s">
        <v>484</v>
      </c>
      <c r="O1232" t="s">
        <v>89</v>
      </c>
      <c r="P1232" t="str">
        <f>"4170072678                    "</f>
        <v xml:space="preserve">4170072678                    </v>
      </c>
      <c r="Q1232">
        <v>0</v>
      </c>
      <c r="R1232">
        <v>0</v>
      </c>
      <c r="S1232">
        <v>0</v>
      </c>
      <c r="T1232">
        <v>0</v>
      </c>
      <c r="U1232">
        <v>0</v>
      </c>
      <c r="V1232">
        <v>0</v>
      </c>
      <c r="W1232">
        <v>0</v>
      </c>
      <c r="X1232">
        <v>0</v>
      </c>
      <c r="Y1232">
        <v>0</v>
      </c>
      <c r="Z1232">
        <v>0</v>
      </c>
      <c r="AA1232">
        <v>0</v>
      </c>
      <c r="AB1232">
        <v>0</v>
      </c>
      <c r="AC1232">
        <v>0</v>
      </c>
      <c r="AD1232">
        <v>0</v>
      </c>
      <c r="AE1232">
        <v>0</v>
      </c>
      <c r="AF1232">
        <v>0</v>
      </c>
      <c r="AG1232">
        <v>0</v>
      </c>
      <c r="AH1232">
        <v>0</v>
      </c>
      <c r="AI1232">
        <v>0</v>
      </c>
      <c r="AJ1232">
        <v>0</v>
      </c>
      <c r="AK1232">
        <v>0</v>
      </c>
      <c r="AL1232">
        <v>0</v>
      </c>
      <c r="AM1232">
        <v>0</v>
      </c>
      <c r="AN1232">
        <v>0</v>
      </c>
      <c r="AO1232">
        <v>0</v>
      </c>
      <c r="AP1232">
        <v>0</v>
      </c>
      <c r="AQ1232">
        <v>60.62</v>
      </c>
      <c r="AR1232">
        <v>0</v>
      </c>
      <c r="AS1232">
        <v>0</v>
      </c>
      <c r="AT1232">
        <v>0</v>
      </c>
      <c r="AU1232">
        <v>0</v>
      </c>
      <c r="AV1232">
        <v>0</v>
      </c>
      <c r="AW1232">
        <v>0</v>
      </c>
      <c r="AX1232">
        <v>0</v>
      </c>
      <c r="AY1232">
        <v>0</v>
      </c>
      <c r="AZ1232">
        <v>0</v>
      </c>
      <c r="BA1232">
        <v>0</v>
      </c>
      <c r="BB1232">
        <v>0</v>
      </c>
      <c r="BC1232">
        <v>0</v>
      </c>
      <c r="BD1232">
        <v>0</v>
      </c>
      <c r="BE1232">
        <v>0</v>
      </c>
      <c r="BF1232">
        <v>0</v>
      </c>
      <c r="BG1232">
        <v>0</v>
      </c>
      <c r="BH1232">
        <v>1</v>
      </c>
      <c r="BI1232">
        <v>0.2</v>
      </c>
      <c r="BJ1232">
        <v>2.2000000000000002</v>
      </c>
      <c r="BK1232">
        <v>2.5</v>
      </c>
      <c r="BL1232">
        <v>180.66</v>
      </c>
      <c r="BM1232">
        <v>27.1</v>
      </c>
      <c r="BN1232">
        <v>207.76</v>
      </c>
      <c r="BO1232">
        <v>207.76</v>
      </c>
      <c r="BQ1232" t="s">
        <v>485</v>
      </c>
      <c r="BR1232" t="s">
        <v>82</v>
      </c>
      <c r="BS1232" s="3">
        <v>46002</v>
      </c>
      <c r="BT1232" s="4">
        <v>0.40555555555555556</v>
      </c>
      <c r="BU1232" t="s">
        <v>1963</v>
      </c>
      <c r="BV1232" t="s">
        <v>87</v>
      </c>
      <c r="BW1232" t="s">
        <v>186</v>
      </c>
      <c r="BX1232" t="s">
        <v>1889</v>
      </c>
      <c r="BY1232">
        <v>11033.1</v>
      </c>
      <c r="CA1232">
        <v>7711215278081</v>
      </c>
      <c r="CC1232" t="s">
        <v>483</v>
      </c>
      <c r="CD1232">
        <v>1873</v>
      </c>
      <c r="CE1232" t="s">
        <v>86</v>
      </c>
      <c r="CI1232">
        <v>1</v>
      </c>
      <c r="CJ1232">
        <v>2</v>
      </c>
      <c r="CK1232">
        <v>23</v>
      </c>
      <c r="CL1232" t="s">
        <v>87</v>
      </c>
    </row>
    <row r="1233" spans="1:90" x14ac:dyDescent="0.3">
      <c r="A1233" t="s">
        <v>72</v>
      </c>
      <c r="B1233" t="s">
        <v>73</v>
      </c>
      <c r="C1233" t="s">
        <v>74</v>
      </c>
      <c r="E1233" t="str">
        <f>"080069790464"</f>
        <v>080069790464</v>
      </c>
      <c r="F1233" s="3">
        <v>46000</v>
      </c>
      <c r="G1233">
        <v>202609</v>
      </c>
      <c r="H1233" t="s">
        <v>75</v>
      </c>
      <c r="I1233" t="s">
        <v>76</v>
      </c>
      <c r="J1233" t="s">
        <v>77</v>
      </c>
      <c r="K1233" t="s">
        <v>78</v>
      </c>
      <c r="L1233" t="s">
        <v>75</v>
      </c>
      <c r="M1233" t="s">
        <v>76</v>
      </c>
      <c r="N1233" t="s">
        <v>871</v>
      </c>
      <c r="O1233" t="s">
        <v>89</v>
      </c>
      <c r="P1233" t="str">
        <f>"4170072666                    "</f>
        <v xml:space="preserve">4170072666                    </v>
      </c>
      <c r="Q1233">
        <v>0</v>
      </c>
      <c r="R1233">
        <v>0</v>
      </c>
      <c r="S1233">
        <v>0</v>
      </c>
      <c r="T1233">
        <v>0</v>
      </c>
      <c r="U1233">
        <v>0</v>
      </c>
      <c r="V1233">
        <v>0</v>
      </c>
      <c r="W1233">
        <v>0</v>
      </c>
      <c r="X1233">
        <v>0</v>
      </c>
      <c r="Y1233">
        <v>0</v>
      </c>
      <c r="Z1233">
        <v>0</v>
      </c>
      <c r="AA1233">
        <v>0</v>
      </c>
      <c r="AB1233">
        <v>0</v>
      </c>
      <c r="AC1233">
        <v>0</v>
      </c>
      <c r="AD1233">
        <v>0</v>
      </c>
      <c r="AE1233">
        <v>0</v>
      </c>
      <c r="AF1233">
        <v>0</v>
      </c>
      <c r="AG1233">
        <v>0</v>
      </c>
      <c r="AH1233">
        <v>0</v>
      </c>
      <c r="AI1233">
        <v>0</v>
      </c>
      <c r="AJ1233">
        <v>0</v>
      </c>
      <c r="AK1233">
        <v>0</v>
      </c>
      <c r="AL1233">
        <v>0</v>
      </c>
      <c r="AM1233">
        <v>0</v>
      </c>
      <c r="AN1233">
        <v>0</v>
      </c>
      <c r="AO1233">
        <v>0</v>
      </c>
      <c r="AP1233">
        <v>0</v>
      </c>
      <c r="AQ1233">
        <v>19.940000000000001</v>
      </c>
      <c r="AR1233">
        <v>0</v>
      </c>
      <c r="AS1233">
        <v>0</v>
      </c>
      <c r="AT1233">
        <v>0</v>
      </c>
      <c r="AU1233">
        <v>0</v>
      </c>
      <c r="AV1233">
        <v>0</v>
      </c>
      <c r="AW1233">
        <v>0</v>
      </c>
      <c r="AX1233">
        <v>0</v>
      </c>
      <c r="AY1233">
        <v>0</v>
      </c>
      <c r="AZ1233">
        <v>0</v>
      </c>
      <c r="BA1233">
        <v>0</v>
      </c>
      <c r="BB1233">
        <v>0</v>
      </c>
      <c r="BC1233">
        <v>0</v>
      </c>
      <c r="BD1233">
        <v>0</v>
      </c>
      <c r="BE1233">
        <v>0</v>
      </c>
      <c r="BF1233">
        <v>0</v>
      </c>
      <c r="BG1233">
        <v>0</v>
      </c>
      <c r="BH1233">
        <v>1</v>
      </c>
      <c r="BI1233">
        <v>0.2</v>
      </c>
      <c r="BJ1233">
        <v>0.7</v>
      </c>
      <c r="BK1233">
        <v>1</v>
      </c>
      <c r="BL1233">
        <v>59.42</v>
      </c>
      <c r="BM1233">
        <v>8.91</v>
      </c>
      <c r="BN1233">
        <v>68.33</v>
      </c>
      <c r="BO1233">
        <v>68.33</v>
      </c>
      <c r="BQ1233" t="s">
        <v>872</v>
      </c>
      <c r="BR1233" t="s">
        <v>82</v>
      </c>
      <c r="BS1233" s="3">
        <v>46001</v>
      </c>
      <c r="BT1233" s="4">
        <v>0.40277777777777779</v>
      </c>
      <c r="BU1233" t="s">
        <v>1210</v>
      </c>
      <c r="BV1233" t="s">
        <v>84</v>
      </c>
      <c r="BY1233">
        <v>3546.6</v>
      </c>
      <c r="CA1233" t="s">
        <v>92</v>
      </c>
      <c r="CC1233" t="s">
        <v>76</v>
      </c>
      <c r="CD1233">
        <v>1618</v>
      </c>
      <c r="CE1233" t="s">
        <v>86</v>
      </c>
      <c r="CF1233" s="3">
        <v>46002</v>
      </c>
      <c r="CI1233">
        <v>1</v>
      </c>
      <c r="CJ1233">
        <v>1</v>
      </c>
      <c r="CK1233">
        <v>22</v>
      </c>
      <c r="CL1233" t="s">
        <v>87</v>
      </c>
    </row>
    <row r="1234" spans="1:90" x14ac:dyDescent="0.3">
      <c r="A1234" t="s">
        <v>72</v>
      </c>
      <c r="B1234" t="s">
        <v>73</v>
      </c>
      <c r="C1234" t="s">
        <v>74</v>
      </c>
      <c r="E1234" t="str">
        <f>"080069790503"</f>
        <v>080069790503</v>
      </c>
      <c r="F1234" s="3">
        <v>46000</v>
      </c>
      <c r="G1234">
        <v>202609</v>
      </c>
      <c r="H1234" t="s">
        <v>75</v>
      </c>
      <c r="I1234" t="s">
        <v>76</v>
      </c>
      <c r="J1234" t="s">
        <v>77</v>
      </c>
      <c r="K1234" t="s">
        <v>78</v>
      </c>
      <c r="L1234" t="s">
        <v>272</v>
      </c>
      <c r="M1234" t="s">
        <v>273</v>
      </c>
      <c r="N1234" t="s">
        <v>940</v>
      </c>
      <c r="O1234" t="s">
        <v>89</v>
      </c>
      <c r="P1234" t="str">
        <f>"4170072733                    "</f>
        <v xml:space="preserve">4170072733                    </v>
      </c>
      <c r="Q1234">
        <v>0</v>
      </c>
      <c r="R1234">
        <v>0</v>
      </c>
      <c r="S1234">
        <v>0</v>
      </c>
      <c r="T1234">
        <v>0</v>
      </c>
      <c r="U1234">
        <v>0</v>
      </c>
      <c r="V1234">
        <v>0</v>
      </c>
      <c r="W1234">
        <v>0</v>
      </c>
      <c r="X1234">
        <v>0</v>
      </c>
      <c r="Y1234">
        <v>0</v>
      </c>
      <c r="Z1234">
        <v>0</v>
      </c>
      <c r="AA1234">
        <v>0</v>
      </c>
      <c r="AB1234">
        <v>0</v>
      </c>
      <c r="AC1234">
        <v>0</v>
      </c>
      <c r="AD1234">
        <v>0</v>
      </c>
      <c r="AE1234">
        <v>0</v>
      </c>
      <c r="AF1234">
        <v>0</v>
      </c>
      <c r="AG1234">
        <v>0</v>
      </c>
      <c r="AH1234">
        <v>0</v>
      </c>
      <c r="AI1234">
        <v>0</v>
      </c>
      <c r="AJ1234">
        <v>0</v>
      </c>
      <c r="AK1234">
        <v>0</v>
      </c>
      <c r="AL1234">
        <v>0</v>
      </c>
      <c r="AM1234">
        <v>0</v>
      </c>
      <c r="AN1234">
        <v>0</v>
      </c>
      <c r="AO1234">
        <v>0</v>
      </c>
      <c r="AP1234">
        <v>0</v>
      </c>
      <c r="AQ1234">
        <v>25.52</v>
      </c>
      <c r="AR1234">
        <v>0</v>
      </c>
      <c r="AS1234">
        <v>0</v>
      </c>
      <c r="AT1234">
        <v>0</v>
      </c>
      <c r="AU1234">
        <v>0</v>
      </c>
      <c r="AV1234">
        <v>0</v>
      </c>
      <c r="AW1234">
        <v>0</v>
      </c>
      <c r="AX1234">
        <v>0</v>
      </c>
      <c r="AY1234">
        <v>0</v>
      </c>
      <c r="AZ1234">
        <v>0</v>
      </c>
      <c r="BA1234">
        <v>0</v>
      </c>
      <c r="BB1234">
        <v>0</v>
      </c>
      <c r="BC1234">
        <v>0</v>
      </c>
      <c r="BD1234">
        <v>0</v>
      </c>
      <c r="BE1234">
        <v>0</v>
      </c>
      <c r="BF1234">
        <v>0</v>
      </c>
      <c r="BG1234">
        <v>0</v>
      </c>
      <c r="BH1234">
        <v>1</v>
      </c>
      <c r="BI1234">
        <v>0.2</v>
      </c>
      <c r="BJ1234">
        <v>0.6</v>
      </c>
      <c r="BK1234">
        <v>1</v>
      </c>
      <c r="BL1234">
        <v>76.06</v>
      </c>
      <c r="BM1234">
        <v>11.41</v>
      </c>
      <c r="BN1234">
        <v>87.47</v>
      </c>
      <c r="BO1234">
        <v>87.47</v>
      </c>
      <c r="BQ1234" t="s">
        <v>941</v>
      </c>
      <c r="BR1234" t="s">
        <v>82</v>
      </c>
      <c r="BS1234" s="3">
        <v>46001</v>
      </c>
      <c r="BT1234" s="4">
        <v>0.43680555555555556</v>
      </c>
      <c r="BU1234" t="s">
        <v>1964</v>
      </c>
      <c r="BV1234" t="s">
        <v>84</v>
      </c>
      <c r="BY1234">
        <v>2871.96</v>
      </c>
      <c r="CA1234" t="s">
        <v>1873</v>
      </c>
      <c r="CC1234" t="s">
        <v>273</v>
      </c>
      <c r="CD1234">
        <v>6220</v>
      </c>
      <c r="CE1234" t="s">
        <v>86</v>
      </c>
      <c r="CF1234" s="3">
        <v>46001</v>
      </c>
      <c r="CI1234">
        <v>1</v>
      </c>
      <c r="CJ1234">
        <v>1</v>
      </c>
      <c r="CK1234">
        <v>21</v>
      </c>
      <c r="CL1234" t="s">
        <v>87</v>
      </c>
    </row>
    <row r="1235" spans="1:90" x14ac:dyDescent="0.3">
      <c r="A1235" t="s">
        <v>72</v>
      </c>
      <c r="B1235" t="s">
        <v>73</v>
      </c>
      <c r="C1235" t="s">
        <v>74</v>
      </c>
      <c r="E1235" t="str">
        <f>"080069790511"</f>
        <v>080069790511</v>
      </c>
      <c r="F1235" s="3">
        <v>46000</v>
      </c>
      <c r="G1235">
        <v>202609</v>
      </c>
      <c r="H1235" t="s">
        <v>75</v>
      </c>
      <c r="I1235" t="s">
        <v>76</v>
      </c>
      <c r="J1235" t="s">
        <v>77</v>
      </c>
      <c r="K1235" t="s">
        <v>78</v>
      </c>
      <c r="L1235" t="s">
        <v>502</v>
      </c>
      <c r="M1235" t="s">
        <v>503</v>
      </c>
      <c r="N1235" t="s">
        <v>678</v>
      </c>
      <c r="O1235" t="s">
        <v>89</v>
      </c>
      <c r="P1235" t="str">
        <f>"4170072600                    "</f>
        <v xml:space="preserve">4170072600                    </v>
      </c>
      <c r="Q1235">
        <v>0</v>
      </c>
      <c r="R1235">
        <v>0</v>
      </c>
      <c r="S1235">
        <v>0</v>
      </c>
      <c r="T1235">
        <v>0</v>
      </c>
      <c r="U1235">
        <v>0</v>
      </c>
      <c r="V1235">
        <v>0</v>
      </c>
      <c r="W1235">
        <v>0</v>
      </c>
      <c r="X1235">
        <v>0</v>
      </c>
      <c r="Y1235">
        <v>0</v>
      </c>
      <c r="Z1235">
        <v>0</v>
      </c>
      <c r="AA1235">
        <v>0</v>
      </c>
      <c r="AB1235">
        <v>0</v>
      </c>
      <c r="AC1235">
        <v>0</v>
      </c>
      <c r="AD1235">
        <v>0</v>
      </c>
      <c r="AE1235">
        <v>0</v>
      </c>
      <c r="AF1235">
        <v>0</v>
      </c>
      <c r="AG1235">
        <v>0</v>
      </c>
      <c r="AH1235">
        <v>0</v>
      </c>
      <c r="AI1235">
        <v>0</v>
      </c>
      <c r="AJ1235">
        <v>0</v>
      </c>
      <c r="AK1235">
        <v>0</v>
      </c>
      <c r="AL1235">
        <v>0</v>
      </c>
      <c r="AM1235">
        <v>0</v>
      </c>
      <c r="AN1235">
        <v>0</v>
      </c>
      <c r="AO1235">
        <v>0</v>
      </c>
      <c r="AP1235">
        <v>0</v>
      </c>
      <c r="AQ1235">
        <v>19.940000000000001</v>
      </c>
      <c r="AR1235">
        <v>0</v>
      </c>
      <c r="AS1235">
        <v>0</v>
      </c>
      <c r="AT1235">
        <v>0</v>
      </c>
      <c r="AU1235">
        <v>0</v>
      </c>
      <c r="AV1235">
        <v>0</v>
      </c>
      <c r="AW1235">
        <v>0</v>
      </c>
      <c r="AX1235">
        <v>0</v>
      </c>
      <c r="AY1235">
        <v>0</v>
      </c>
      <c r="AZ1235">
        <v>0</v>
      </c>
      <c r="BA1235">
        <v>0</v>
      </c>
      <c r="BB1235">
        <v>0</v>
      </c>
      <c r="BC1235">
        <v>0</v>
      </c>
      <c r="BD1235">
        <v>0</v>
      </c>
      <c r="BE1235">
        <v>0</v>
      </c>
      <c r="BF1235">
        <v>0</v>
      </c>
      <c r="BG1235">
        <v>0</v>
      </c>
      <c r="BH1235">
        <v>1</v>
      </c>
      <c r="BI1235">
        <v>1</v>
      </c>
      <c r="BJ1235">
        <v>0.2</v>
      </c>
      <c r="BK1235">
        <v>1</v>
      </c>
      <c r="BL1235">
        <v>59.42</v>
      </c>
      <c r="BM1235">
        <v>8.91</v>
      </c>
      <c r="BN1235">
        <v>68.33</v>
      </c>
      <c r="BO1235">
        <v>68.33</v>
      </c>
      <c r="BQ1235" t="s">
        <v>1222</v>
      </c>
      <c r="BR1235" t="s">
        <v>82</v>
      </c>
      <c r="BS1235" s="3">
        <v>46001</v>
      </c>
      <c r="BT1235" s="4">
        <v>0.45833333333333331</v>
      </c>
      <c r="BU1235" t="s">
        <v>1930</v>
      </c>
      <c r="BV1235" t="s">
        <v>84</v>
      </c>
      <c r="BY1235">
        <v>1200</v>
      </c>
      <c r="CA1235" t="s">
        <v>507</v>
      </c>
      <c r="CC1235" t="s">
        <v>503</v>
      </c>
      <c r="CD1235">
        <v>1559</v>
      </c>
      <c r="CE1235" t="s">
        <v>134</v>
      </c>
      <c r="CF1235" s="3">
        <v>46001</v>
      </c>
      <c r="CI1235">
        <v>1</v>
      </c>
      <c r="CJ1235">
        <v>1</v>
      </c>
      <c r="CK1235">
        <v>22</v>
      </c>
      <c r="CL1235" t="s">
        <v>87</v>
      </c>
    </row>
    <row r="1236" spans="1:90" x14ac:dyDescent="0.3">
      <c r="A1236" t="s">
        <v>72</v>
      </c>
      <c r="B1236" t="s">
        <v>73</v>
      </c>
      <c r="C1236" t="s">
        <v>74</v>
      </c>
      <c r="E1236" t="str">
        <f>"080069790538"</f>
        <v>080069790538</v>
      </c>
      <c r="F1236" s="3">
        <v>46000</v>
      </c>
      <c r="G1236">
        <v>202609</v>
      </c>
      <c r="H1236" t="s">
        <v>75</v>
      </c>
      <c r="I1236" t="s">
        <v>76</v>
      </c>
      <c r="J1236" t="s">
        <v>77</v>
      </c>
      <c r="K1236" t="s">
        <v>78</v>
      </c>
      <c r="L1236" t="s">
        <v>75</v>
      </c>
      <c r="M1236" t="s">
        <v>76</v>
      </c>
      <c r="N1236" t="s">
        <v>1965</v>
      </c>
      <c r="O1236" t="s">
        <v>89</v>
      </c>
      <c r="P1236" t="str">
        <f>"4170072606                    "</f>
        <v xml:space="preserve">4170072606                    </v>
      </c>
      <c r="Q1236">
        <v>0</v>
      </c>
      <c r="R1236">
        <v>0</v>
      </c>
      <c r="S1236">
        <v>0</v>
      </c>
      <c r="T1236">
        <v>0</v>
      </c>
      <c r="U1236">
        <v>0</v>
      </c>
      <c r="V1236">
        <v>0</v>
      </c>
      <c r="W1236">
        <v>0</v>
      </c>
      <c r="X1236">
        <v>0</v>
      </c>
      <c r="Y1236">
        <v>0</v>
      </c>
      <c r="Z1236">
        <v>0</v>
      </c>
      <c r="AA1236">
        <v>0</v>
      </c>
      <c r="AB1236">
        <v>0</v>
      </c>
      <c r="AC1236">
        <v>0</v>
      </c>
      <c r="AD1236">
        <v>0</v>
      </c>
      <c r="AE1236">
        <v>0</v>
      </c>
      <c r="AF1236">
        <v>0</v>
      </c>
      <c r="AG1236">
        <v>0</v>
      </c>
      <c r="AH1236">
        <v>0</v>
      </c>
      <c r="AI1236">
        <v>0</v>
      </c>
      <c r="AJ1236">
        <v>0</v>
      </c>
      <c r="AK1236">
        <v>0</v>
      </c>
      <c r="AL1236">
        <v>0</v>
      </c>
      <c r="AM1236">
        <v>0</v>
      </c>
      <c r="AN1236">
        <v>0</v>
      </c>
      <c r="AO1236">
        <v>0</v>
      </c>
      <c r="AP1236">
        <v>0</v>
      </c>
      <c r="AQ1236">
        <v>19.940000000000001</v>
      </c>
      <c r="AR1236">
        <v>0</v>
      </c>
      <c r="AS1236">
        <v>0</v>
      </c>
      <c r="AT1236">
        <v>0</v>
      </c>
      <c r="AU1236">
        <v>0</v>
      </c>
      <c r="AV1236">
        <v>0</v>
      </c>
      <c r="AW1236">
        <v>0</v>
      </c>
      <c r="AX1236">
        <v>0</v>
      </c>
      <c r="AY1236">
        <v>0</v>
      </c>
      <c r="AZ1236">
        <v>0</v>
      </c>
      <c r="BA1236">
        <v>0</v>
      </c>
      <c r="BB1236">
        <v>0</v>
      </c>
      <c r="BC1236">
        <v>0</v>
      </c>
      <c r="BD1236">
        <v>0</v>
      </c>
      <c r="BE1236">
        <v>0</v>
      </c>
      <c r="BF1236">
        <v>0</v>
      </c>
      <c r="BG1236">
        <v>0</v>
      </c>
      <c r="BH1236">
        <v>1</v>
      </c>
      <c r="BI1236">
        <v>1</v>
      </c>
      <c r="BJ1236">
        <v>0.2</v>
      </c>
      <c r="BK1236">
        <v>1</v>
      </c>
      <c r="BL1236">
        <v>59.42</v>
      </c>
      <c r="BM1236">
        <v>8.91</v>
      </c>
      <c r="BN1236">
        <v>68.33</v>
      </c>
      <c r="BO1236">
        <v>68.33</v>
      </c>
      <c r="BQ1236" t="s">
        <v>1966</v>
      </c>
      <c r="BR1236" t="s">
        <v>82</v>
      </c>
      <c r="BS1236" s="3">
        <v>46001</v>
      </c>
      <c r="BT1236" s="4">
        <v>0.33402777777777776</v>
      </c>
      <c r="BU1236" t="s">
        <v>1967</v>
      </c>
      <c r="BV1236" t="s">
        <v>84</v>
      </c>
      <c r="BY1236">
        <v>1200</v>
      </c>
      <c r="CA1236" t="s">
        <v>1954</v>
      </c>
      <c r="CC1236" t="s">
        <v>76</v>
      </c>
      <c r="CD1236">
        <v>1600</v>
      </c>
      <c r="CE1236" t="s">
        <v>134</v>
      </c>
      <c r="CF1236" s="3">
        <v>46001</v>
      </c>
      <c r="CI1236">
        <v>1</v>
      </c>
      <c r="CJ1236">
        <v>1</v>
      </c>
      <c r="CK1236">
        <v>22</v>
      </c>
      <c r="CL1236" t="s">
        <v>87</v>
      </c>
    </row>
    <row r="1237" spans="1:90" x14ac:dyDescent="0.3">
      <c r="A1237" t="s">
        <v>72</v>
      </c>
      <c r="B1237" t="s">
        <v>73</v>
      </c>
      <c r="C1237" t="s">
        <v>74</v>
      </c>
      <c r="E1237" t="str">
        <f>"080069790540"</f>
        <v>080069790540</v>
      </c>
      <c r="F1237" s="3">
        <v>46000</v>
      </c>
      <c r="G1237">
        <v>202609</v>
      </c>
      <c r="H1237" t="s">
        <v>75</v>
      </c>
      <c r="I1237" t="s">
        <v>76</v>
      </c>
      <c r="J1237" t="s">
        <v>77</v>
      </c>
      <c r="K1237" t="s">
        <v>78</v>
      </c>
      <c r="L1237" t="s">
        <v>389</v>
      </c>
      <c r="M1237" t="s">
        <v>390</v>
      </c>
      <c r="N1237" t="s">
        <v>1968</v>
      </c>
      <c r="O1237" t="s">
        <v>89</v>
      </c>
      <c r="P1237" t="str">
        <f>"4170072657                    "</f>
        <v xml:space="preserve">4170072657                    </v>
      </c>
      <c r="Q1237">
        <v>0</v>
      </c>
      <c r="R1237">
        <v>0</v>
      </c>
      <c r="S1237">
        <v>0</v>
      </c>
      <c r="T1237">
        <v>0</v>
      </c>
      <c r="U1237">
        <v>0</v>
      </c>
      <c r="V1237">
        <v>0</v>
      </c>
      <c r="W1237">
        <v>0</v>
      </c>
      <c r="X1237">
        <v>0</v>
      </c>
      <c r="Y1237">
        <v>0</v>
      </c>
      <c r="Z1237">
        <v>0</v>
      </c>
      <c r="AA1237">
        <v>0</v>
      </c>
      <c r="AB1237">
        <v>0</v>
      </c>
      <c r="AC1237">
        <v>0</v>
      </c>
      <c r="AD1237">
        <v>0</v>
      </c>
      <c r="AE1237">
        <v>0</v>
      </c>
      <c r="AF1237">
        <v>0</v>
      </c>
      <c r="AG1237">
        <v>0</v>
      </c>
      <c r="AH1237">
        <v>0</v>
      </c>
      <c r="AI1237">
        <v>0</v>
      </c>
      <c r="AJ1237">
        <v>0</v>
      </c>
      <c r="AK1237">
        <v>0</v>
      </c>
      <c r="AL1237">
        <v>0</v>
      </c>
      <c r="AM1237">
        <v>0</v>
      </c>
      <c r="AN1237">
        <v>0</v>
      </c>
      <c r="AO1237">
        <v>0</v>
      </c>
      <c r="AP1237">
        <v>0</v>
      </c>
      <c r="AQ1237">
        <v>49.45</v>
      </c>
      <c r="AR1237">
        <v>0</v>
      </c>
      <c r="AS1237">
        <v>0</v>
      </c>
      <c r="AT1237">
        <v>0</v>
      </c>
      <c r="AU1237">
        <v>0</v>
      </c>
      <c r="AV1237">
        <v>0</v>
      </c>
      <c r="AW1237">
        <v>0</v>
      </c>
      <c r="AX1237">
        <v>0</v>
      </c>
      <c r="AY1237">
        <v>0</v>
      </c>
      <c r="AZ1237">
        <v>0</v>
      </c>
      <c r="BA1237">
        <v>0</v>
      </c>
      <c r="BB1237">
        <v>0</v>
      </c>
      <c r="BC1237">
        <v>0</v>
      </c>
      <c r="BD1237">
        <v>0</v>
      </c>
      <c r="BE1237">
        <v>0</v>
      </c>
      <c r="BF1237">
        <v>0</v>
      </c>
      <c r="BG1237">
        <v>0</v>
      </c>
      <c r="BH1237">
        <v>1</v>
      </c>
      <c r="BI1237">
        <v>1</v>
      </c>
      <c r="BJ1237">
        <v>1.3</v>
      </c>
      <c r="BK1237">
        <v>1.5</v>
      </c>
      <c r="BL1237">
        <v>147.38</v>
      </c>
      <c r="BM1237">
        <v>22.11</v>
      </c>
      <c r="BN1237">
        <v>169.49</v>
      </c>
      <c r="BO1237">
        <v>169.49</v>
      </c>
      <c r="BQ1237" t="s">
        <v>1969</v>
      </c>
      <c r="BR1237" t="s">
        <v>82</v>
      </c>
      <c r="BS1237" s="3">
        <v>46001</v>
      </c>
      <c r="BT1237" s="4">
        <v>0.42986111111111114</v>
      </c>
      <c r="BU1237" t="s">
        <v>1970</v>
      </c>
      <c r="BV1237" t="s">
        <v>84</v>
      </c>
      <c r="BY1237">
        <v>6612</v>
      </c>
      <c r="CA1237">
        <v>7601035402088</v>
      </c>
      <c r="CC1237" t="s">
        <v>390</v>
      </c>
      <c r="CD1237" s="5" t="s">
        <v>395</v>
      </c>
      <c r="CE1237" t="s">
        <v>86</v>
      </c>
      <c r="CF1237" s="3">
        <v>46002</v>
      </c>
      <c r="CI1237">
        <v>1</v>
      </c>
      <c r="CJ1237">
        <v>1</v>
      </c>
      <c r="CK1237">
        <v>23</v>
      </c>
      <c r="CL1237" t="s">
        <v>87</v>
      </c>
    </row>
    <row r="1238" spans="1:90" x14ac:dyDescent="0.3">
      <c r="A1238" t="s">
        <v>72</v>
      </c>
      <c r="B1238" t="s">
        <v>73</v>
      </c>
      <c r="C1238" t="s">
        <v>74</v>
      </c>
      <c r="E1238" t="str">
        <f>"080069790569"</f>
        <v>080069790569</v>
      </c>
      <c r="F1238" s="3">
        <v>46000</v>
      </c>
      <c r="G1238">
        <v>202609</v>
      </c>
      <c r="H1238" t="s">
        <v>75</v>
      </c>
      <c r="I1238" t="s">
        <v>76</v>
      </c>
      <c r="J1238" t="s">
        <v>77</v>
      </c>
      <c r="K1238" t="s">
        <v>78</v>
      </c>
      <c r="L1238" t="s">
        <v>899</v>
      </c>
      <c r="M1238" t="s">
        <v>900</v>
      </c>
      <c r="N1238" t="s">
        <v>901</v>
      </c>
      <c r="O1238" t="s">
        <v>89</v>
      </c>
      <c r="P1238" t="str">
        <f>"4170072648                    "</f>
        <v xml:space="preserve">4170072648                    </v>
      </c>
      <c r="Q1238">
        <v>0</v>
      </c>
      <c r="R1238">
        <v>0</v>
      </c>
      <c r="S1238">
        <v>0</v>
      </c>
      <c r="T1238">
        <v>0</v>
      </c>
      <c r="U1238">
        <v>0</v>
      </c>
      <c r="V1238">
        <v>0</v>
      </c>
      <c r="W1238">
        <v>0</v>
      </c>
      <c r="X1238">
        <v>0</v>
      </c>
      <c r="Y1238">
        <v>0</v>
      </c>
      <c r="Z1238">
        <v>0</v>
      </c>
      <c r="AA1238">
        <v>0</v>
      </c>
      <c r="AB1238">
        <v>0</v>
      </c>
      <c r="AC1238">
        <v>0</v>
      </c>
      <c r="AD1238">
        <v>0</v>
      </c>
      <c r="AE1238">
        <v>0</v>
      </c>
      <c r="AF1238">
        <v>0</v>
      </c>
      <c r="AG1238">
        <v>0</v>
      </c>
      <c r="AH1238">
        <v>0</v>
      </c>
      <c r="AI1238">
        <v>0</v>
      </c>
      <c r="AJ1238">
        <v>0</v>
      </c>
      <c r="AK1238">
        <v>0</v>
      </c>
      <c r="AL1238">
        <v>0</v>
      </c>
      <c r="AM1238">
        <v>0</v>
      </c>
      <c r="AN1238">
        <v>0</v>
      </c>
      <c r="AO1238">
        <v>0</v>
      </c>
      <c r="AP1238">
        <v>0</v>
      </c>
      <c r="AQ1238">
        <v>35.9</v>
      </c>
      <c r="AR1238">
        <v>0</v>
      </c>
      <c r="AS1238">
        <v>0</v>
      </c>
      <c r="AT1238">
        <v>0</v>
      </c>
      <c r="AU1238">
        <v>0</v>
      </c>
      <c r="AV1238">
        <v>0</v>
      </c>
      <c r="AW1238">
        <v>0</v>
      </c>
      <c r="AX1238">
        <v>0</v>
      </c>
      <c r="AY1238">
        <v>0</v>
      </c>
      <c r="AZ1238">
        <v>0</v>
      </c>
      <c r="BA1238">
        <v>0</v>
      </c>
      <c r="BB1238">
        <v>0</v>
      </c>
      <c r="BC1238">
        <v>0</v>
      </c>
      <c r="BD1238">
        <v>0</v>
      </c>
      <c r="BE1238">
        <v>0</v>
      </c>
      <c r="BF1238">
        <v>0</v>
      </c>
      <c r="BG1238">
        <v>0</v>
      </c>
      <c r="BH1238">
        <v>1</v>
      </c>
      <c r="BI1238">
        <v>1</v>
      </c>
      <c r="BJ1238">
        <v>0.2</v>
      </c>
      <c r="BK1238">
        <v>1</v>
      </c>
      <c r="BL1238">
        <v>106.98</v>
      </c>
      <c r="BM1238">
        <v>16.05</v>
      </c>
      <c r="BN1238">
        <v>123.03</v>
      </c>
      <c r="BO1238">
        <v>123.03</v>
      </c>
      <c r="BQ1238" t="s">
        <v>902</v>
      </c>
      <c r="BR1238" t="s">
        <v>82</v>
      </c>
      <c r="BS1238" s="3">
        <v>46001</v>
      </c>
      <c r="BT1238" s="4">
        <v>0.36805555555555558</v>
      </c>
      <c r="BU1238" t="s">
        <v>903</v>
      </c>
      <c r="BV1238" t="s">
        <v>84</v>
      </c>
      <c r="BY1238">
        <v>1200</v>
      </c>
      <c r="CA1238" t="s">
        <v>904</v>
      </c>
      <c r="CC1238" t="s">
        <v>900</v>
      </c>
      <c r="CD1238">
        <v>2410</v>
      </c>
      <c r="CE1238" t="s">
        <v>134</v>
      </c>
      <c r="CF1238" s="3">
        <v>46001</v>
      </c>
      <c r="CI1238">
        <v>1</v>
      </c>
      <c r="CJ1238">
        <v>1</v>
      </c>
      <c r="CK1238">
        <v>24</v>
      </c>
      <c r="CL1238" t="s">
        <v>87</v>
      </c>
    </row>
    <row r="1239" spans="1:90" x14ac:dyDescent="0.3">
      <c r="A1239" t="s">
        <v>72</v>
      </c>
      <c r="B1239" t="s">
        <v>73</v>
      </c>
      <c r="C1239" t="s">
        <v>74</v>
      </c>
      <c r="E1239" t="str">
        <f>"080069790581"</f>
        <v>080069790581</v>
      </c>
      <c r="F1239" s="3">
        <v>46000</v>
      </c>
      <c r="G1239">
        <v>202609</v>
      </c>
      <c r="H1239" t="s">
        <v>75</v>
      </c>
      <c r="I1239" t="s">
        <v>76</v>
      </c>
      <c r="J1239" t="s">
        <v>77</v>
      </c>
      <c r="K1239" t="s">
        <v>78</v>
      </c>
      <c r="L1239" t="s">
        <v>265</v>
      </c>
      <c r="M1239" t="s">
        <v>266</v>
      </c>
      <c r="N1239" t="s">
        <v>1971</v>
      </c>
      <c r="O1239" t="s">
        <v>340</v>
      </c>
      <c r="P1239" t="str">
        <f>"4170072661                    "</f>
        <v xml:space="preserve">4170072661                    </v>
      </c>
      <c r="Q1239">
        <v>0</v>
      </c>
      <c r="R1239">
        <v>0</v>
      </c>
      <c r="S1239">
        <v>0</v>
      </c>
      <c r="T1239">
        <v>0</v>
      </c>
      <c r="U1239">
        <v>0</v>
      </c>
      <c r="V1239">
        <v>0</v>
      </c>
      <c r="W1239">
        <v>0</v>
      </c>
      <c r="X1239">
        <v>0</v>
      </c>
      <c r="Y1239">
        <v>0</v>
      </c>
      <c r="Z1239">
        <v>0</v>
      </c>
      <c r="AA1239">
        <v>0</v>
      </c>
      <c r="AB1239">
        <v>0</v>
      </c>
      <c r="AC1239">
        <v>0</v>
      </c>
      <c r="AD1239">
        <v>0</v>
      </c>
      <c r="AE1239">
        <v>0</v>
      </c>
      <c r="AF1239">
        <v>0</v>
      </c>
      <c r="AG1239">
        <v>0</v>
      </c>
      <c r="AH1239">
        <v>0</v>
      </c>
      <c r="AI1239">
        <v>0</v>
      </c>
      <c r="AJ1239">
        <v>0</v>
      </c>
      <c r="AK1239">
        <v>0</v>
      </c>
      <c r="AL1239">
        <v>0</v>
      </c>
      <c r="AM1239">
        <v>0</v>
      </c>
      <c r="AN1239">
        <v>0</v>
      </c>
      <c r="AO1239">
        <v>0</v>
      </c>
      <c r="AP1239">
        <v>0</v>
      </c>
      <c r="AQ1239">
        <v>19.940000000000001</v>
      </c>
      <c r="AR1239">
        <v>0</v>
      </c>
      <c r="AS1239">
        <v>0</v>
      </c>
      <c r="AT1239">
        <v>0</v>
      </c>
      <c r="AU1239">
        <v>0</v>
      </c>
      <c r="AV1239">
        <v>0</v>
      </c>
      <c r="AW1239">
        <v>0</v>
      </c>
      <c r="AX1239">
        <v>0</v>
      </c>
      <c r="AY1239">
        <v>0</v>
      </c>
      <c r="AZ1239">
        <v>0</v>
      </c>
      <c r="BA1239">
        <v>0</v>
      </c>
      <c r="BB1239">
        <v>0</v>
      </c>
      <c r="BC1239">
        <v>0</v>
      </c>
      <c r="BD1239">
        <v>0</v>
      </c>
      <c r="BE1239">
        <v>0</v>
      </c>
      <c r="BF1239">
        <v>0</v>
      </c>
      <c r="BG1239">
        <v>0</v>
      </c>
      <c r="BH1239">
        <v>1</v>
      </c>
      <c r="BI1239">
        <v>3</v>
      </c>
      <c r="BJ1239">
        <v>1.7</v>
      </c>
      <c r="BK1239">
        <v>3</v>
      </c>
      <c r="BL1239">
        <v>59.43</v>
      </c>
      <c r="BM1239">
        <v>8.91</v>
      </c>
      <c r="BN1239">
        <v>68.34</v>
      </c>
      <c r="BO1239">
        <v>68.34</v>
      </c>
      <c r="BQ1239" t="s">
        <v>1972</v>
      </c>
      <c r="BR1239" t="s">
        <v>82</v>
      </c>
      <c r="BS1239" s="3">
        <v>46001</v>
      </c>
      <c r="BT1239" s="4">
        <v>0.47430555555555554</v>
      </c>
      <c r="BU1239" t="s">
        <v>1973</v>
      </c>
      <c r="BV1239" t="s">
        <v>84</v>
      </c>
      <c r="BY1239">
        <v>8265</v>
      </c>
      <c r="CA1239" t="s">
        <v>417</v>
      </c>
      <c r="CC1239" t="s">
        <v>266</v>
      </c>
      <c r="CD1239">
        <v>1459</v>
      </c>
      <c r="CE1239" t="s">
        <v>86</v>
      </c>
      <c r="CF1239" s="3">
        <v>46001</v>
      </c>
      <c r="CI1239">
        <v>1</v>
      </c>
      <c r="CJ1239">
        <v>1</v>
      </c>
      <c r="CK1239">
        <v>32</v>
      </c>
      <c r="CL1239" t="s">
        <v>87</v>
      </c>
    </row>
    <row r="1240" spans="1:90" x14ac:dyDescent="0.3">
      <c r="A1240" t="s">
        <v>72</v>
      </c>
      <c r="B1240" t="s">
        <v>73</v>
      </c>
      <c r="C1240" t="s">
        <v>74</v>
      </c>
      <c r="E1240" t="str">
        <f>"080069790911"</f>
        <v>080069790911</v>
      </c>
      <c r="F1240" s="3">
        <v>46000</v>
      </c>
      <c r="G1240">
        <v>202609</v>
      </c>
      <c r="H1240" t="s">
        <v>75</v>
      </c>
      <c r="I1240" t="s">
        <v>76</v>
      </c>
      <c r="J1240" t="s">
        <v>77</v>
      </c>
      <c r="K1240" t="s">
        <v>78</v>
      </c>
      <c r="L1240" t="s">
        <v>528</v>
      </c>
      <c r="M1240" t="s">
        <v>529</v>
      </c>
      <c r="N1240" t="s">
        <v>1131</v>
      </c>
      <c r="O1240" t="s">
        <v>89</v>
      </c>
      <c r="P1240" t="str">
        <f>"4170072610                    "</f>
        <v xml:space="preserve">4170072610                    </v>
      </c>
      <c r="Q1240">
        <v>0</v>
      </c>
      <c r="R1240">
        <v>0</v>
      </c>
      <c r="S1240">
        <v>0</v>
      </c>
      <c r="T1240">
        <v>0</v>
      </c>
      <c r="U1240">
        <v>0</v>
      </c>
      <c r="V1240">
        <v>0</v>
      </c>
      <c r="W1240">
        <v>0</v>
      </c>
      <c r="X1240">
        <v>0</v>
      </c>
      <c r="Y1240">
        <v>0</v>
      </c>
      <c r="Z1240">
        <v>0</v>
      </c>
      <c r="AA1240">
        <v>0</v>
      </c>
      <c r="AB1240">
        <v>0</v>
      </c>
      <c r="AC1240">
        <v>0</v>
      </c>
      <c r="AD1240">
        <v>0</v>
      </c>
      <c r="AE1240">
        <v>0</v>
      </c>
      <c r="AF1240">
        <v>0</v>
      </c>
      <c r="AG1240">
        <v>0</v>
      </c>
      <c r="AH1240">
        <v>0</v>
      </c>
      <c r="AI1240">
        <v>0</v>
      </c>
      <c r="AJ1240">
        <v>0</v>
      </c>
      <c r="AK1240">
        <v>0</v>
      </c>
      <c r="AL1240">
        <v>0</v>
      </c>
      <c r="AM1240">
        <v>0</v>
      </c>
      <c r="AN1240">
        <v>0</v>
      </c>
      <c r="AO1240">
        <v>0</v>
      </c>
      <c r="AP1240">
        <v>0</v>
      </c>
      <c r="AQ1240">
        <v>49.45</v>
      </c>
      <c r="AR1240">
        <v>0</v>
      </c>
      <c r="AS1240">
        <v>0</v>
      </c>
      <c r="AT1240">
        <v>0</v>
      </c>
      <c r="AU1240">
        <v>0</v>
      </c>
      <c r="AV1240">
        <v>0</v>
      </c>
      <c r="AW1240">
        <v>17.41</v>
      </c>
      <c r="AX1240">
        <v>0</v>
      </c>
      <c r="AY1240">
        <v>0</v>
      </c>
      <c r="AZ1240">
        <v>0</v>
      </c>
      <c r="BA1240">
        <v>0</v>
      </c>
      <c r="BB1240">
        <v>0</v>
      </c>
      <c r="BC1240">
        <v>0</v>
      </c>
      <c r="BD1240">
        <v>0</v>
      </c>
      <c r="BE1240">
        <v>0</v>
      </c>
      <c r="BF1240">
        <v>0</v>
      </c>
      <c r="BG1240">
        <v>0</v>
      </c>
      <c r="BH1240">
        <v>1</v>
      </c>
      <c r="BI1240">
        <v>1</v>
      </c>
      <c r="BJ1240">
        <v>0.2</v>
      </c>
      <c r="BK1240">
        <v>1</v>
      </c>
      <c r="BL1240">
        <v>164.79</v>
      </c>
      <c r="BM1240">
        <v>24.72</v>
      </c>
      <c r="BN1240">
        <v>189.51</v>
      </c>
      <c r="BO1240">
        <v>189.51</v>
      </c>
      <c r="BQ1240" t="s">
        <v>1132</v>
      </c>
      <c r="BR1240" t="s">
        <v>82</v>
      </c>
      <c r="BS1240" s="3">
        <v>46001</v>
      </c>
      <c r="BT1240" s="4">
        <v>0.45833333333333331</v>
      </c>
      <c r="BU1240" t="s">
        <v>1133</v>
      </c>
      <c r="BV1240" t="s">
        <v>84</v>
      </c>
      <c r="BY1240">
        <v>1200</v>
      </c>
      <c r="BZ1240" t="s">
        <v>30</v>
      </c>
      <c r="CC1240" t="s">
        <v>529</v>
      </c>
      <c r="CD1240" s="5" t="s">
        <v>1134</v>
      </c>
      <c r="CE1240" t="s">
        <v>134</v>
      </c>
      <c r="CF1240" s="3">
        <v>46002</v>
      </c>
      <c r="CI1240">
        <v>1</v>
      </c>
      <c r="CJ1240">
        <v>1</v>
      </c>
      <c r="CK1240">
        <v>23</v>
      </c>
      <c r="CL1240" t="s">
        <v>87</v>
      </c>
    </row>
    <row r="1241" spans="1:90" x14ac:dyDescent="0.3">
      <c r="A1241" t="s">
        <v>72</v>
      </c>
      <c r="B1241" t="s">
        <v>73</v>
      </c>
      <c r="C1241" t="s">
        <v>74</v>
      </c>
      <c r="E1241" t="str">
        <f>"080069790946"</f>
        <v>080069790946</v>
      </c>
      <c r="F1241" s="3">
        <v>46000</v>
      </c>
      <c r="G1241">
        <v>202609</v>
      </c>
      <c r="H1241" t="s">
        <v>75</v>
      </c>
      <c r="I1241" t="s">
        <v>76</v>
      </c>
      <c r="J1241" t="s">
        <v>77</v>
      </c>
      <c r="K1241" t="s">
        <v>78</v>
      </c>
      <c r="L1241" t="s">
        <v>100</v>
      </c>
      <c r="M1241" t="s">
        <v>101</v>
      </c>
      <c r="N1241" t="s">
        <v>166</v>
      </c>
      <c r="O1241" t="s">
        <v>89</v>
      </c>
      <c r="P1241" t="str">
        <f>"4170072702                    "</f>
        <v xml:space="preserve">4170072702                    </v>
      </c>
      <c r="Q1241">
        <v>0</v>
      </c>
      <c r="R1241">
        <v>0</v>
      </c>
      <c r="S1241">
        <v>0</v>
      </c>
      <c r="T1241">
        <v>0</v>
      </c>
      <c r="U1241">
        <v>0</v>
      </c>
      <c r="V1241">
        <v>0</v>
      </c>
      <c r="W1241">
        <v>0</v>
      </c>
      <c r="X1241">
        <v>0</v>
      </c>
      <c r="Y1241">
        <v>0</v>
      </c>
      <c r="Z1241">
        <v>0</v>
      </c>
      <c r="AA1241">
        <v>0</v>
      </c>
      <c r="AB1241">
        <v>0</v>
      </c>
      <c r="AC1241">
        <v>0</v>
      </c>
      <c r="AD1241">
        <v>0</v>
      </c>
      <c r="AE1241">
        <v>0</v>
      </c>
      <c r="AF1241">
        <v>0</v>
      </c>
      <c r="AG1241">
        <v>0</v>
      </c>
      <c r="AH1241">
        <v>0</v>
      </c>
      <c r="AI1241">
        <v>0</v>
      </c>
      <c r="AJ1241">
        <v>0</v>
      </c>
      <c r="AK1241">
        <v>0</v>
      </c>
      <c r="AL1241">
        <v>0</v>
      </c>
      <c r="AM1241">
        <v>0</v>
      </c>
      <c r="AN1241">
        <v>0</v>
      </c>
      <c r="AO1241">
        <v>0</v>
      </c>
      <c r="AP1241">
        <v>0</v>
      </c>
      <c r="AQ1241">
        <v>25.52</v>
      </c>
      <c r="AR1241">
        <v>0</v>
      </c>
      <c r="AS1241">
        <v>0</v>
      </c>
      <c r="AT1241">
        <v>0</v>
      </c>
      <c r="AU1241">
        <v>0</v>
      </c>
      <c r="AV1241">
        <v>0</v>
      </c>
      <c r="AW1241">
        <v>0</v>
      </c>
      <c r="AX1241">
        <v>0</v>
      </c>
      <c r="AY1241">
        <v>0</v>
      </c>
      <c r="AZ1241">
        <v>0</v>
      </c>
      <c r="BA1241">
        <v>0</v>
      </c>
      <c r="BB1241">
        <v>0</v>
      </c>
      <c r="BC1241">
        <v>0</v>
      </c>
      <c r="BD1241">
        <v>0</v>
      </c>
      <c r="BE1241">
        <v>0</v>
      </c>
      <c r="BF1241">
        <v>0</v>
      </c>
      <c r="BG1241">
        <v>0</v>
      </c>
      <c r="BH1241">
        <v>1</v>
      </c>
      <c r="BI1241">
        <v>1</v>
      </c>
      <c r="BJ1241">
        <v>0.2</v>
      </c>
      <c r="BK1241">
        <v>1</v>
      </c>
      <c r="BL1241">
        <v>76.06</v>
      </c>
      <c r="BM1241">
        <v>11.41</v>
      </c>
      <c r="BN1241">
        <v>87.47</v>
      </c>
      <c r="BO1241">
        <v>87.47</v>
      </c>
      <c r="BQ1241" t="s">
        <v>167</v>
      </c>
      <c r="BR1241" t="s">
        <v>82</v>
      </c>
      <c r="BS1241" s="3">
        <v>46001</v>
      </c>
      <c r="BT1241" s="4">
        <v>0.42638888888888887</v>
      </c>
      <c r="BU1241" t="s">
        <v>644</v>
      </c>
      <c r="BV1241" t="s">
        <v>84</v>
      </c>
      <c r="BY1241">
        <v>1200</v>
      </c>
      <c r="CA1241" t="s">
        <v>929</v>
      </c>
      <c r="CC1241" t="s">
        <v>101</v>
      </c>
      <c r="CD1241">
        <v>4000</v>
      </c>
      <c r="CE1241" t="s">
        <v>134</v>
      </c>
      <c r="CF1241" s="3">
        <v>46001</v>
      </c>
      <c r="CI1241">
        <v>1</v>
      </c>
      <c r="CJ1241">
        <v>1</v>
      </c>
      <c r="CK1241">
        <v>21</v>
      </c>
      <c r="CL1241" t="s">
        <v>87</v>
      </c>
    </row>
    <row r="1242" spans="1:90" x14ac:dyDescent="0.3">
      <c r="A1242" t="s">
        <v>72</v>
      </c>
      <c r="B1242" t="s">
        <v>73</v>
      </c>
      <c r="C1242" t="s">
        <v>74</v>
      </c>
      <c r="E1242" t="str">
        <f>"080069790975"</f>
        <v>080069790975</v>
      </c>
      <c r="F1242" s="3">
        <v>46000</v>
      </c>
      <c r="G1242">
        <v>202609</v>
      </c>
      <c r="H1242" t="s">
        <v>75</v>
      </c>
      <c r="I1242" t="s">
        <v>76</v>
      </c>
      <c r="J1242" t="s">
        <v>77</v>
      </c>
      <c r="K1242" t="s">
        <v>78</v>
      </c>
      <c r="L1242" t="s">
        <v>141</v>
      </c>
      <c r="M1242" t="s">
        <v>142</v>
      </c>
      <c r="N1242" t="s">
        <v>568</v>
      </c>
      <c r="O1242" t="s">
        <v>89</v>
      </c>
      <c r="P1242" t="str">
        <f>"4170072672                    "</f>
        <v xml:space="preserve">4170072672                    </v>
      </c>
      <c r="Q1242">
        <v>0</v>
      </c>
      <c r="R1242">
        <v>0</v>
      </c>
      <c r="S1242">
        <v>0</v>
      </c>
      <c r="T1242">
        <v>0</v>
      </c>
      <c r="U1242">
        <v>0</v>
      </c>
      <c r="V1242">
        <v>0</v>
      </c>
      <c r="W1242">
        <v>0</v>
      </c>
      <c r="X1242">
        <v>0</v>
      </c>
      <c r="Y1242">
        <v>0</v>
      </c>
      <c r="Z1242">
        <v>0</v>
      </c>
      <c r="AA1242">
        <v>0</v>
      </c>
      <c r="AB1242">
        <v>0</v>
      </c>
      <c r="AC1242">
        <v>0</v>
      </c>
      <c r="AD1242">
        <v>0</v>
      </c>
      <c r="AE1242">
        <v>0</v>
      </c>
      <c r="AF1242">
        <v>0</v>
      </c>
      <c r="AG1242">
        <v>0</v>
      </c>
      <c r="AH1242">
        <v>0</v>
      </c>
      <c r="AI1242">
        <v>0</v>
      </c>
      <c r="AJ1242">
        <v>0</v>
      </c>
      <c r="AK1242">
        <v>0</v>
      </c>
      <c r="AL1242">
        <v>0</v>
      </c>
      <c r="AM1242">
        <v>0</v>
      </c>
      <c r="AN1242">
        <v>0</v>
      </c>
      <c r="AO1242">
        <v>0</v>
      </c>
      <c r="AP1242">
        <v>0</v>
      </c>
      <c r="AQ1242">
        <v>76.55</v>
      </c>
      <c r="AR1242">
        <v>0</v>
      </c>
      <c r="AS1242">
        <v>0</v>
      </c>
      <c r="AT1242">
        <v>0</v>
      </c>
      <c r="AU1242">
        <v>0</v>
      </c>
      <c r="AV1242">
        <v>0</v>
      </c>
      <c r="AW1242">
        <v>0</v>
      </c>
      <c r="AX1242">
        <v>0</v>
      </c>
      <c r="AY1242">
        <v>0</v>
      </c>
      <c r="AZ1242">
        <v>0</v>
      </c>
      <c r="BA1242">
        <v>0</v>
      </c>
      <c r="BB1242">
        <v>0</v>
      </c>
      <c r="BC1242">
        <v>0</v>
      </c>
      <c r="BD1242">
        <v>0</v>
      </c>
      <c r="BE1242">
        <v>0</v>
      </c>
      <c r="BF1242">
        <v>0</v>
      </c>
      <c r="BG1242">
        <v>0</v>
      </c>
      <c r="BH1242">
        <v>1</v>
      </c>
      <c r="BI1242">
        <v>3</v>
      </c>
      <c r="BJ1242">
        <v>5.7</v>
      </c>
      <c r="BK1242">
        <v>6</v>
      </c>
      <c r="BL1242">
        <v>228.13</v>
      </c>
      <c r="BM1242">
        <v>34.22</v>
      </c>
      <c r="BN1242">
        <v>262.35000000000002</v>
      </c>
      <c r="BO1242">
        <v>262.35000000000002</v>
      </c>
      <c r="BQ1242" t="s">
        <v>569</v>
      </c>
      <c r="BR1242" t="s">
        <v>82</v>
      </c>
      <c r="BS1242" s="3">
        <v>46001</v>
      </c>
      <c r="BT1242" s="4">
        <v>0.43263888888888891</v>
      </c>
      <c r="BU1242" t="s">
        <v>1904</v>
      </c>
      <c r="BV1242" t="s">
        <v>84</v>
      </c>
      <c r="BY1242">
        <v>28275</v>
      </c>
      <c r="CA1242" t="s">
        <v>571</v>
      </c>
      <c r="CC1242" t="s">
        <v>142</v>
      </c>
      <c r="CD1242">
        <v>6056</v>
      </c>
      <c r="CE1242" t="s">
        <v>86</v>
      </c>
      <c r="CI1242">
        <v>1</v>
      </c>
      <c r="CJ1242">
        <v>1</v>
      </c>
      <c r="CK1242">
        <v>21</v>
      </c>
      <c r="CL1242" t="s">
        <v>87</v>
      </c>
    </row>
    <row r="1243" spans="1:90" x14ac:dyDescent="0.3">
      <c r="A1243" t="s">
        <v>72</v>
      </c>
      <c r="B1243" t="s">
        <v>73</v>
      </c>
      <c r="C1243" t="s">
        <v>74</v>
      </c>
      <c r="E1243" t="str">
        <f>"080069790978"</f>
        <v>080069790978</v>
      </c>
      <c r="F1243" s="3">
        <v>46000</v>
      </c>
      <c r="G1243">
        <v>202609</v>
      </c>
      <c r="H1243" t="s">
        <v>75</v>
      </c>
      <c r="I1243" t="s">
        <v>76</v>
      </c>
      <c r="J1243" t="s">
        <v>77</v>
      </c>
      <c r="K1243" t="s">
        <v>78</v>
      </c>
      <c r="L1243" t="s">
        <v>141</v>
      </c>
      <c r="M1243" t="s">
        <v>142</v>
      </c>
      <c r="N1243" t="s">
        <v>312</v>
      </c>
      <c r="O1243" t="s">
        <v>89</v>
      </c>
      <c r="P1243" t="str">
        <f>"4170072696                    "</f>
        <v xml:space="preserve">4170072696                    </v>
      </c>
      <c r="Q1243">
        <v>0</v>
      </c>
      <c r="R1243">
        <v>0</v>
      </c>
      <c r="S1243">
        <v>0</v>
      </c>
      <c r="T1243">
        <v>0</v>
      </c>
      <c r="U1243">
        <v>0</v>
      </c>
      <c r="V1243">
        <v>0</v>
      </c>
      <c r="W1243">
        <v>0</v>
      </c>
      <c r="X1243">
        <v>0</v>
      </c>
      <c r="Y1243">
        <v>0</v>
      </c>
      <c r="Z1243">
        <v>0</v>
      </c>
      <c r="AA1243">
        <v>0</v>
      </c>
      <c r="AB1243">
        <v>0</v>
      </c>
      <c r="AC1243">
        <v>0</v>
      </c>
      <c r="AD1243">
        <v>0</v>
      </c>
      <c r="AE1243">
        <v>0</v>
      </c>
      <c r="AF1243">
        <v>0</v>
      </c>
      <c r="AG1243">
        <v>0</v>
      </c>
      <c r="AH1243">
        <v>0</v>
      </c>
      <c r="AI1243">
        <v>0</v>
      </c>
      <c r="AJ1243">
        <v>0</v>
      </c>
      <c r="AK1243">
        <v>0</v>
      </c>
      <c r="AL1243">
        <v>0</v>
      </c>
      <c r="AM1243">
        <v>0</v>
      </c>
      <c r="AN1243">
        <v>0</v>
      </c>
      <c r="AO1243">
        <v>0</v>
      </c>
      <c r="AP1243">
        <v>0</v>
      </c>
      <c r="AQ1243">
        <v>25.52</v>
      </c>
      <c r="AR1243">
        <v>0</v>
      </c>
      <c r="AS1243">
        <v>0</v>
      </c>
      <c r="AT1243">
        <v>0</v>
      </c>
      <c r="AU1243">
        <v>0</v>
      </c>
      <c r="AV1243">
        <v>0</v>
      </c>
      <c r="AW1243">
        <v>0</v>
      </c>
      <c r="AX1243">
        <v>0</v>
      </c>
      <c r="AY1243">
        <v>0</v>
      </c>
      <c r="AZ1243">
        <v>0</v>
      </c>
      <c r="BA1243">
        <v>0</v>
      </c>
      <c r="BB1243">
        <v>0</v>
      </c>
      <c r="BC1243">
        <v>0</v>
      </c>
      <c r="BD1243">
        <v>0</v>
      </c>
      <c r="BE1243">
        <v>0</v>
      </c>
      <c r="BF1243">
        <v>0</v>
      </c>
      <c r="BG1243">
        <v>0</v>
      </c>
      <c r="BH1243">
        <v>1</v>
      </c>
      <c r="BI1243">
        <v>1</v>
      </c>
      <c r="BJ1243">
        <v>0.2</v>
      </c>
      <c r="BK1243">
        <v>1</v>
      </c>
      <c r="BL1243">
        <v>76.06</v>
      </c>
      <c r="BM1243">
        <v>11.41</v>
      </c>
      <c r="BN1243">
        <v>87.47</v>
      </c>
      <c r="BO1243">
        <v>87.47</v>
      </c>
      <c r="BQ1243" t="s">
        <v>313</v>
      </c>
      <c r="BR1243" t="s">
        <v>82</v>
      </c>
      <c r="BS1243" s="3">
        <v>46001</v>
      </c>
      <c r="BT1243" s="4">
        <v>0.39583333333333331</v>
      </c>
      <c r="BU1243" t="s">
        <v>1877</v>
      </c>
      <c r="BV1243" t="s">
        <v>84</v>
      </c>
      <c r="BY1243">
        <v>1200</v>
      </c>
      <c r="CA1243" t="s">
        <v>315</v>
      </c>
      <c r="CC1243" t="s">
        <v>142</v>
      </c>
      <c r="CD1243">
        <v>6001</v>
      </c>
      <c r="CE1243" t="s">
        <v>134</v>
      </c>
      <c r="CF1243" s="3">
        <v>46001</v>
      </c>
      <c r="CI1243">
        <v>1</v>
      </c>
      <c r="CJ1243">
        <v>1</v>
      </c>
      <c r="CK1243">
        <v>21</v>
      </c>
      <c r="CL1243" t="s">
        <v>87</v>
      </c>
    </row>
    <row r="1244" spans="1:90" x14ac:dyDescent="0.3">
      <c r="A1244" t="s">
        <v>72</v>
      </c>
      <c r="B1244" t="s">
        <v>73</v>
      </c>
      <c r="C1244" t="s">
        <v>74</v>
      </c>
      <c r="E1244" t="str">
        <f>"080069791027"</f>
        <v>080069791027</v>
      </c>
      <c r="F1244" s="3">
        <v>46000</v>
      </c>
      <c r="G1244">
        <v>202609</v>
      </c>
      <c r="H1244" t="s">
        <v>75</v>
      </c>
      <c r="I1244" t="s">
        <v>76</v>
      </c>
      <c r="J1244" t="s">
        <v>77</v>
      </c>
      <c r="K1244" t="s">
        <v>78</v>
      </c>
      <c r="L1244" t="s">
        <v>265</v>
      </c>
      <c r="M1244" t="s">
        <v>266</v>
      </c>
      <c r="N1244" t="s">
        <v>414</v>
      </c>
      <c r="O1244" t="s">
        <v>89</v>
      </c>
      <c r="P1244" t="str">
        <f>"4170072651                    "</f>
        <v xml:space="preserve">4170072651                    </v>
      </c>
      <c r="Q1244">
        <v>0</v>
      </c>
      <c r="R1244">
        <v>0</v>
      </c>
      <c r="S1244">
        <v>0</v>
      </c>
      <c r="T1244">
        <v>0</v>
      </c>
      <c r="U1244">
        <v>0</v>
      </c>
      <c r="V1244">
        <v>0</v>
      </c>
      <c r="W1244">
        <v>0</v>
      </c>
      <c r="X1244">
        <v>0</v>
      </c>
      <c r="Y1244">
        <v>0</v>
      </c>
      <c r="Z1244">
        <v>0</v>
      </c>
      <c r="AA1244">
        <v>0</v>
      </c>
      <c r="AB1244">
        <v>0</v>
      </c>
      <c r="AC1244">
        <v>0</v>
      </c>
      <c r="AD1244">
        <v>0</v>
      </c>
      <c r="AE1244">
        <v>0</v>
      </c>
      <c r="AF1244">
        <v>0</v>
      </c>
      <c r="AG1244">
        <v>0</v>
      </c>
      <c r="AH1244">
        <v>0</v>
      </c>
      <c r="AI1244">
        <v>0</v>
      </c>
      <c r="AJ1244">
        <v>0</v>
      </c>
      <c r="AK1244">
        <v>0</v>
      </c>
      <c r="AL1244">
        <v>0</v>
      </c>
      <c r="AM1244">
        <v>0</v>
      </c>
      <c r="AN1244">
        <v>0</v>
      </c>
      <c r="AO1244">
        <v>0</v>
      </c>
      <c r="AP1244">
        <v>0</v>
      </c>
      <c r="AQ1244">
        <v>27.1</v>
      </c>
      <c r="AR1244">
        <v>0</v>
      </c>
      <c r="AS1244">
        <v>0</v>
      </c>
      <c r="AT1244">
        <v>0</v>
      </c>
      <c r="AU1244">
        <v>0</v>
      </c>
      <c r="AV1244">
        <v>0</v>
      </c>
      <c r="AW1244">
        <v>0</v>
      </c>
      <c r="AX1244">
        <v>0</v>
      </c>
      <c r="AY1244">
        <v>0</v>
      </c>
      <c r="AZ1244">
        <v>0</v>
      </c>
      <c r="BA1244">
        <v>0</v>
      </c>
      <c r="BB1244">
        <v>0</v>
      </c>
      <c r="BC1244">
        <v>0</v>
      </c>
      <c r="BD1244">
        <v>0</v>
      </c>
      <c r="BE1244">
        <v>0</v>
      </c>
      <c r="BF1244">
        <v>0</v>
      </c>
      <c r="BG1244">
        <v>0</v>
      </c>
      <c r="BH1244">
        <v>1</v>
      </c>
      <c r="BI1244">
        <v>0.2</v>
      </c>
      <c r="BJ1244">
        <v>10.9</v>
      </c>
      <c r="BK1244">
        <v>11</v>
      </c>
      <c r="BL1244">
        <v>80.77</v>
      </c>
      <c r="BM1244">
        <v>12.12</v>
      </c>
      <c r="BN1244">
        <v>92.89</v>
      </c>
      <c r="BO1244">
        <v>92.89</v>
      </c>
      <c r="BQ1244" t="s">
        <v>415</v>
      </c>
      <c r="BR1244" t="s">
        <v>82</v>
      </c>
      <c r="BS1244" s="3">
        <v>46001</v>
      </c>
      <c r="BT1244" s="4">
        <v>0.32291666666666669</v>
      </c>
      <c r="BU1244" t="s">
        <v>416</v>
      </c>
      <c r="BV1244" t="s">
        <v>84</v>
      </c>
      <c r="BY1244">
        <v>54342.81</v>
      </c>
      <c r="CA1244" t="s">
        <v>417</v>
      </c>
      <c r="CC1244" t="s">
        <v>266</v>
      </c>
      <c r="CD1244">
        <v>1459</v>
      </c>
      <c r="CE1244" t="s">
        <v>93</v>
      </c>
      <c r="CF1244" s="3">
        <v>46001</v>
      </c>
      <c r="CI1244">
        <v>1</v>
      </c>
      <c r="CJ1244">
        <v>1</v>
      </c>
      <c r="CK1244">
        <v>22</v>
      </c>
      <c r="CL1244" t="s">
        <v>87</v>
      </c>
    </row>
    <row r="1245" spans="1:90" x14ac:dyDescent="0.3">
      <c r="A1245" t="s">
        <v>72</v>
      </c>
      <c r="B1245" t="s">
        <v>73</v>
      </c>
      <c r="C1245" t="s">
        <v>74</v>
      </c>
      <c r="E1245" t="str">
        <f>"080069791026"</f>
        <v>080069791026</v>
      </c>
      <c r="F1245" s="3">
        <v>46000</v>
      </c>
      <c r="G1245">
        <v>202609</v>
      </c>
      <c r="H1245" t="s">
        <v>75</v>
      </c>
      <c r="I1245" t="s">
        <v>76</v>
      </c>
      <c r="J1245" t="s">
        <v>77</v>
      </c>
      <c r="K1245" t="s">
        <v>78</v>
      </c>
      <c r="L1245" t="s">
        <v>437</v>
      </c>
      <c r="M1245" t="s">
        <v>438</v>
      </c>
      <c r="N1245" t="s">
        <v>439</v>
      </c>
      <c r="O1245" t="s">
        <v>89</v>
      </c>
      <c r="P1245" t="str">
        <f>"4170072674                    "</f>
        <v xml:space="preserve">4170072674                    </v>
      </c>
      <c r="Q1245">
        <v>0</v>
      </c>
      <c r="R1245">
        <v>0</v>
      </c>
      <c r="S1245">
        <v>0</v>
      </c>
      <c r="T1245">
        <v>0</v>
      </c>
      <c r="U1245">
        <v>0</v>
      </c>
      <c r="V1245">
        <v>0</v>
      </c>
      <c r="W1245">
        <v>0</v>
      </c>
      <c r="X1245">
        <v>0</v>
      </c>
      <c r="Y1245">
        <v>0</v>
      </c>
      <c r="Z1245">
        <v>0</v>
      </c>
      <c r="AA1245">
        <v>0</v>
      </c>
      <c r="AB1245">
        <v>0</v>
      </c>
      <c r="AC1245">
        <v>0</v>
      </c>
      <c r="AD1245">
        <v>0</v>
      </c>
      <c r="AE1245">
        <v>0</v>
      </c>
      <c r="AF1245">
        <v>0</v>
      </c>
      <c r="AG1245">
        <v>0</v>
      </c>
      <c r="AH1245">
        <v>0</v>
      </c>
      <c r="AI1245">
        <v>0</v>
      </c>
      <c r="AJ1245">
        <v>0</v>
      </c>
      <c r="AK1245">
        <v>0</v>
      </c>
      <c r="AL1245">
        <v>0</v>
      </c>
      <c r="AM1245">
        <v>0</v>
      </c>
      <c r="AN1245">
        <v>0</v>
      </c>
      <c r="AO1245">
        <v>0</v>
      </c>
      <c r="AP1245">
        <v>0</v>
      </c>
      <c r="AQ1245">
        <v>49.45</v>
      </c>
      <c r="AR1245">
        <v>0</v>
      </c>
      <c r="AS1245">
        <v>0</v>
      </c>
      <c r="AT1245">
        <v>0</v>
      </c>
      <c r="AU1245">
        <v>0</v>
      </c>
      <c r="AV1245">
        <v>0</v>
      </c>
      <c r="AW1245">
        <v>0</v>
      </c>
      <c r="AX1245">
        <v>0</v>
      </c>
      <c r="AY1245">
        <v>0</v>
      </c>
      <c r="AZ1245">
        <v>0</v>
      </c>
      <c r="BA1245">
        <v>0</v>
      </c>
      <c r="BB1245">
        <v>0</v>
      </c>
      <c r="BC1245">
        <v>0</v>
      </c>
      <c r="BD1245">
        <v>0</v>
      </c>
      <c r="BE1245">
        <v>0</v>
      </c>
      <c r="BF1245">
        <v>0</v>
      </c>
      <c r="BG1245">
        <v>0</v>
      </c>
      <c r="BH1245">
        <v>1</v>
      </c>
      <c r="BI1245">
        <v>1</v>
      </c>
      <c r="BJ1245">
        <v>0.2</v>
      </c>
      <c r="BK1245">
        <v>1</v>
      </c>
      <c r="BL1245">
        <v>147.38</v>
      </c>
      <c r="BM1245">
        <v>22.11</v>
      </c>
      <c r="BN1245">
        <v>169.49</v>
      </c>
      <c r="BO1245">
        <v>169.49</v>
      </c>
      <c r="BQ1245" t="s">
        <v>440</v>
      </c>
      <c r="BR1245" t="s">
        <v>82</v>
      </c>
      <c r="BS1245" s="3">
        <v>46002</v>
      </c>
      <c r="BT1245" s="4">
        <v>0.57916666666666672</v>
      </c>
      <c r="BU1245" t="s">
        <v>1974</v>
      </c>
      <c r="BV1245" t="s">
        <v>84</v>
      </c>
      <c r="BY1245">
        <v>1200</v>
      </c>
      <c r="CA1245" t="s">
        <v>432</v>
      </c>
      <c r="CC1245" t="s">
        <v>438</v>
      </c>
      <c r="CD1245">
        <v>3290</v>
      </c>
      <c r="CE1245" t="s">
        <v>134</v>
      </c>
      <c r="CI1245">
        <v>1</v>
      </c>
      <c r="CJ1245">
        <v>2</v>
      </c>
      <c r="CK1245">
        <v>23</v>
      </c>
      <c r="CL1245" t="s">
        <v>87</v>
      </c>
    </row>
    <row r="1246" spans="1:90" x14ac:dyDescent="0.3">
      <c r="A1246" t="s">
        <v>72</v>
      </c>
      <c r="B1246" t="s">
        <v>73</v>
      </c>
      <c r="C1246" t="s">
        <v>74</v>
      </c>
      <c r="E1246" t="str">
        <f>"080069791071"</f>
        <v>080069791071</v>
      </c>
      <c r="F1246" s="3">
        <v>46000</v>
      </c>
      <c r="G1246">
        <v>202609</v>
      </c>
      <c r="H1246" t="s">
        <v>75</v>
      </c>
      <c r="I1246" t="s">
        <v>76</v>
      </c>
      <c r="J1246" t="s">
        <v>77</v>
      </c>
      <c r="K1246" t="s">
        <v>78</v>
      </c>
      <c r="L1246" t="s">
        <v>141</v>
      </c>
      <c r="M1246" t="s">
        <v>142</v>
      </c>
      <c r="N1246" t="s">
        <v>324</v>
      </c>
      <c r="O1246" t="s">
        <v>89</v>
      </c>
      <c r="P1246" t="str">
        <f>"4170072681                    "</f>
        <v xml:space="preserve">4170072681                    </v>
      </c>
      <c r="Q1246">
        <v>0</v>
      </c>
      <c r="R1246">
        <v>0</v>
      </c>
      <c r="S1246">
        <v>0</v>
      </c>
      <c r="T1246">
        <v>0</v>
      </c>
      <c r="U1246">
        <v>0</v>
      </c>
      <c r="V1246">
        <v>0</v>
      </c>
      <c r="W1246">
        <v>0</v>
      </c>
      <c r="X1246">
        <v>0</v>
      </c>
      <c r="Y1246">
        <v>0</v>
      </c>
      <c r="Z1246">
        <v>0</v>
      </c>
      <c r="AA1246">
        <v>0</v>
      </c>
      <c r="AB1246">
        <v>0</v>
      </c>
      <c r="AC1246">
        <v>0</v>
      </c>
      <c r="AD1246">
        <v>0</v>
      </c>
      <c r="AE1246">
        <v>0</v>
      </c>
      <c r="AF1246">
        <v>0</v>
      </c>
      <c r="AG1246">
        <v>0</v>
      </c>
      <c r="AH1246">
        <v>0</v>
      </c>
      <c r="AI1246">
        <v>0</v>
      </c>
      <c r="AJ1246">
        <v>0</v>
      </c>
      <c r="AK1246">
        <v>0</v>
      </c>
      <c r="AL1246">
        <v>0</v>
      </c>
      <c r="AM1246">
        <v>0</v>
      </c>
      <c r="AN1246">
        <v>0</v>
      </c>
      <c r="AO1246">
        <v>0</v>
      </c>
      <c r="AP1246">
        <v>0</v>
      </c>
      <c r="AQ1246">
        <v>25.52</v>
      </c>
      <c r="AR1246">
        <v>0</v>
      </c>
      <c r="AS1246">
        <v>0</v>
      </c>
      <c r="AT1246">
        <v>0</v>
      </c>
      <c r="AU1246">
        <v>0</v>
      </c>
      <c r="AV1246">
        <v>0</v>
      </c>
      <c r="AW1246">
        <v>0</v>
      </c>
      <c r="AX1246">
        <v>0</v>
      </c>
      <c r="AY1246">
        <v>0</v>
      </c>
      <c r="AZ1246">
        <v>0</v>
      </c>
      <c r="BA1246">
        <v>0</v>
      </c>
      <c r="BB1246">
        <v>0</v>
      </c>
      <c r="BC1246">
        <v>0</v>
      </c>
      <c r="BD1246">
        <v>0</v>
      </c>
      <c r="BE1246">
        <v>0</v>
      </c>
      <c r="BF1246">
        <v>0</v>
      </c>
      <c r="BG1246">
        <v>0</v>
      </c>
      <c r="BH1246">
        <v>1</v>
      </c>
      <c r="BI1246">
        <v>1</v>
      </c>
      <c r="BJ1246">
        <v>0.7</v>
      </c>
      <c r="BK1246">
        <v>1</v>
      </c>
      <c r="BL1246">
        <v>76.06</v>
      </c>
      <c r="BM1246">
        <v>11.41</v>
      </c>
      <c r="BN1246">
        <v>87.47</v>
      </c>
      <c r="BO1246">
        <v>87.47</v>
      </c>
      <c r="BQ1246" t="s">
        <v>325</v>
      </c>
      <c r="BR1246" t="s">
        <v>82</v>
      </c>
      <c r="BS1246" s="3">
        <v>46001</v>
      </c>
      <c r="BT1246" s="4">
        <v>0.43680555555555556</v>
      </c>
      <c r="BU1246" t="s">
        <v>1975</v>
      </c>
      <c r="BV1246" t="s">
        <v>84</v>
      </c>
      <c r="BY1246">
        <v>3306</v>
      </c>
      <c r="CA1246" t="s">
        <v>1228</v>
      </c>
      <c r="CC1246" t="s">
        <v>142</v>
      </c>
      <c r="CD1246">
        <v>6001</v>
      </c>
      <c r="CE1246" t="s">
        <v>86</v>
      </c>
      <c r="CI1246">
        <v>1</v>
      </c>
      <c r="CJ1246">
        <v>1</v>
      </c>
      <c r="CK1246">
        <v>21</v>
      </c>
      <c r="CL1246" t="s">
        <v>87</v>
      </c>
    </row>
    <row r="1247" spans="1:90" x14ac:dyDescent="0.3">
      <c r="A1247" t="s">
        <v>72</v>
      </c>
      <c r="B1247" t="s">
        <v>73</v>
      </c>
      <c r="C1247" t="s">
        <v>74</v>
      </c>
      <c r="E1247" t="str">
        <f>"080069791118"</f>
        <v>080069791118</v>
      </c>
      <c r="F1247" s="3">
        <v>46000</v>
      </c>
      <c r="G1247">
        <v>202609</v>
      </c>
      <c r="H1247" t="s">
        <v>75</v>
      </c>
      <c r="I1247" t="s">
        <v>76</v>
      </c>
      <c r="J1247" t="s">
        <v>77</v>
      </c>
      <c r="K1247" t="s">
        <v>78</v>
      </c>
      <c r="L1247" t="s">
        <v>437</v>
      </c>
      <c r="M1247" t="s">
        <v>438</v>
      </c>
      <c r="N1247" t="s">
        <v>439</v>
      </c>
      <c r="O1247" t="s">
        <v>89</v>
      </c>
      <c r="P1247" t="str">
        <f>"4170072615                    "</f>
        <v xml:space="preserve">4170072615                    </v>
      </c>
      <c r="Q1247">
        <v>0</v>
      </c>
      <c r="R1247">
        <v>0</v>
      </c>
      <c r="S1247">
        <v>0</v>
      </c>
      <c r="T1247">
        <v>0</v>
      </c>
      <c r="U1247">
        <v>0</v>
      </c>
      <c r="V1247">
        <v>0</v>
      </c>
      <c r="W1247">
        <v>0</v>
      </c>
      <c r="X1247">
        <v>0</v>
      </c>
      <c r="Y1247">
        <v>0</v>
      </c>
      <c r="Z1247">
        <v>0</v>
      </c>
      <c r="AA1247">
        <v>0</v>
      </c>
      <c r="AB1247">
        <v>0</v>
      </c>
      <c r="AC1247">
        <v>0</v>
      </c>
      <c r="AD1247">
        <v>0</v>
      </c>
      <c r="AE1247">
        <v>0</v>
      </c>
      <c r="AF1247">
        <v>0</v>
      </c>
      <c r="AG1247">
        <v>0</v>
      </c>
      <c r="AH1247">
        <v>0</v>
      </c>
      <c r="AI1247">
        <v>0</v>
      </c>
      <c r="AJ1247">
        <v>0</v>
      </c>
      <c r="AK1247">
        <v>0</v>
      </c>
      <c r="AL1247">
        <v>0</v>
      </c>
      <c r="AM1247">
        <v>0</v>
      </c>
      <c r="AN1247">
        <v>0</v>
      </c>
      <c r="AO1247">
        <v>0</v>
      </c>
      <c r="AP1247">
        <v>0</v>
      </c>
      <c r="AQ1247">
        <v>82.95</v>
      </c>
      <c r="AR1247">
        <v>0</v>
      </c>
      <c r="AS1247">
        <v>0</v>
      </c>
      <c r="AT1247">
        <v>0</v>
      </c>
      <c r="AU1247">
        <v>0</v>
      </c>
      <c r="AV1247">
        <v>0</v>
      </c>
      <c r="AW1247">
        <v>0</v>
      </c>
      <c r="AX1247">
        <v>0</v>
      </c>
      <c r="AY1247">
        <v>0</v>
      </c>
      <c r="AZ1247">
        <v>0</v>
      </c>
      <c r="BA1247">
        <v>0</v>
      </c>
      <c r="BB1247">
        <v>0</v>
      </c>
      <c r="BC1247">
        <v>0</v>
      </c>
      <c r="BD1247">
        <v>0</v>
      </c>
      <c r="BE1247">
        <v>0</v>
      </c>
      <c r="BF1247">
        <v>0</v>
      </c>
      <c r="BG1247">
        <v>0</v>
      </c>
      <c r="BH1247">
        <v>1</v>
      </c>
      <c r="BI1247">
        <v>2</v>
      </c>
      <c r="BJ1247">
        <v>3.4</v>
      </c>
      <c r="BK1247">
        <v>3.5</v>
      </c>
      <c r="BL1247">
        <v>247.21</v>
      </c>
      <c r="BM1247">
        <v>37.08</v>
      </c>
      <c r="BN1247">
        <v>284.29000000000002</v>
      </c>
      <c r="BO1247">
        <v>284.29000000000002</v>
      </c>
      <c r="BQ1247" t="s">
        <v>440</v>
      </c>
      <c r="BR1247" t="s">
        <v>82</v>
      </c>
      <c r="BS1247" s="3">
        <v>46002</v>
      </c>
      <c r="BT1247" s="4">
        <v>0.57916666666666672</v>
      </c>
      <c r="BU1247" t="s">
        <v>1974</v>
      </c>
      <c r="BV1247" t="s">
        <v>84</v>
      </c>
      <c r="BY1247">
        <v>16965</v>
      </c>
      <c r="CA1247" t="s">
        <v>442</v>
      </c>
      <c r="CC1247" t="s">
        <v>438</v>
      </c>
      <c r="CD1247">
        <v>3290</v>
      </c>
      <c r="CE1247" t="s">
        <v>86</v>
      </c>
      <c r="CI1247">
        <v>1</v>
      </c>
      <c r="CJ1247">
        <v>2</v>
      </c>
      <c r="CK1247">
        <v>23</v>
      </c>
      <c r="CL1247" t="s">
        <v>87</v>
      </c>
    </row>
    <row r="1248" spans="1:90" x14ac:dyDescent="0.3">
      <c r="A1248" t="s">
        <v>72</v>
      </c>
      <c r="B1248" t="s">
        <v>73</v>
      </c>
      <c r="C1248" t="s">
        <v>74</v>
      </c>
      <c r="E1248" t="str">
        <f>"080069791166"</f>
        <v>080069791166</v>
      </c>
      <c r="F1248" s="3">
        <v>46000</v>
      </c>
      <c r="G1248">
        <v>202609</v>
      </c>
      <c r="H1248" t="s">
        <v>75</v>
      </c>
      <c r="I1248" t="s">
        <v>76</v>
      </c>
      <c r="J1248" t="s">
        <v>77</v>
      </c>
      <c r="K1248" t="s">
        <v>78</v>
      </c>
      <c r="L1248" t="s">
        <v>389</v>
      </c>
      <c r="M1248" t="s">
        <v>390</v>
      </c>
      <c r="N1248" t="s">
        <v>1976</v>
      </c>
      <c r="O1248" t="s">
        <v>89</v>
      </c>
      <c r="P1248" t="str">
        <f>"4170072616                    "</f>
        <v xml:space="preserve">4170072616                    </v>
      </c>
      <c r="Q1248">
        <v>0</v>
      </c>
      <c r="R1248">
        <v>0</v>
      </c>
      <c r="S1248">
        <v>0</v>
      </c>
      <c r="T1248">
        <v>0</v>
      </c>
      <c r="U1248">
        <v>0</v>
      </c>
      <c r="V1248">
        <v>0</v>
      </c>
      <c r="W1248">
        <v>0</v>
      </c>
      <c r="X1248">
        <v>0</v>
      </c>
      <c r="Y1248">
        <v>0</v>
      </c>
      <c r="Z1248">
        <v>0</v>
      </c>
      <c r="AA1248">
        <v>0</v>
      </c>
      <c r="AB1248">
        <v>0</v>
      </c>
      <c r="AC1248">
        <v>0</v>
      </c>
      <c r="AD1248">
        <v>0</v>
      </c>
      <c r="AE1248">
        <v>0</v>
      </c>
      <c r="AF1248">
        <v>0</v>
      </c>
      <c r="AG1248">
        <v>0</v>
      </c>
      <c r="AH1248">
        <v>0</v>
      </c>
      <c r="AI1248">
        <v>0</v>
      </c>
      <c r="AJ1248">
        <v>0</v>
      </c>
      <c r="AK1248">
        <v>0</v>
      </c>
      <c r="AL1248">
        <v>0</v>
      </c>
      <c r="AM1248">
        <v>0</v>
      </c>
      <c r="AN1248">
        <v>0</v>
      </c>
      <c r="AO1248">
        <v>0</v>
      </c>
      <c r="AP1248">
        <v>0</v>
      </c>
      <c r="AQ1248">
        <v>49.45</v>
      </c>
      <c r="AR1248">
        <v>0</v>
      </c>
      <c r="AS1248">
        <v>0</v>
      </c>
      <c r="AT1248">
        <v>0</v>
      </c>
      <c r="AU1248">
        <v>0</v>
      </c>
      <c r="AV1248">
        <v>0</v>
      </c>
      <c r="AW1248">
        <v>17.41</v>
      </c>
      <c r="AX1248">
        <v>0</v>
      </c>
      <c r="AY1248">
        <v>0</v>
      </c>
      <c r="AZ1248">
        <v>0</v>
      </c>
      <c r="BA1248">
        <v>0</v>
      </c>
      <c r="BB1248">
        <v>0</v>
      </c>
      <c r="BC1248">
        <v>0</v>
      </c>
      <c r="BD1248">
        <v>0</v>
      </c>
      <c r="BE1248">
        <v>0</v>
      </c>
      <c r="BF1248">
        <v>0</v>
      </c>
      <c r="BG1248">
        <v>0</v>
      </c>
      <c r="BH1248">
        <v>1</v>
      </c>
      <c r="BI1248">
        <v>0.2</v>
      </c>
      <c r="BJ1248">
        <v>0.6</v>
      </c>
      <c r="BK1248">
        <v>1</v>
      </c>
      <c r="BL1248">
        <v>164.79</v>
      </c>
      <c r="BM1248">
        <v>24.72</v>
      </c>
      <c r="BN1248">
        <v>189.51</v>
      </c>
      <c r="BO1248">
        <v>189.51</v>
      </c>
      <c r="BQ1248" t="s">
        <v>1977</v>
      </c>
      <c r="BR1248" t="s">
        <v>82</v>
      </c>
      <c r="BS1248" t="s">
        <v>500</v>
      </c>
      <c r="BY1248">
        <v>2863.8</v>
      </c>
      <c r="BZ1248" t="s">
        <v>30</v>
      </c>
      <c r="CC1248" t="s">
        <v>390</v>
      </c>
      <c r="CD1248" s="5" t="s">
        <v>1978</v>
      </c>
      <c r="CE1248" t="s">
        <v>86</v>
      </c>
      <c r="CI1248">
        <v>1</v>
      </c>
      <c r="CJ1248" t="s">
        <v>500</v>
      </c>
      <c r="CK1248">
        <v>23</v>
      </c>
      <c r="CL1248" t="s">
        <v>87</v>
      </c>
    </row>
    <row r="1249" spans="1:90" x14ac:dyDescent="0.3">
      <c r="A1249" t="s">
        <v>72</v>
      </c>
      <c r="B1249" t="s">
        <v>73</v>
      </c>
      <c r="C1249" t="s">
        <v>74</v>
      </c>
      <c r="E1249" t="str">
        <f>"080069791214"</f>
        <v>080069791214</v>
      </c>
      <c r="F1249" s="3">
        <v>46000</v>
      </c>
      <c r="G1249">
        <v>202609</v>
      </c>
      <c r="H1249" t="s">
        <v>75</v>
      </c>
      <c r="I1249" t="s">
        <v>76</v>
      </c>
      <c r="J1249" t="s">
        <v>77</v>
      </c>
      <c r="K1249" t="s">
        <v>78</v>
      </c>
      <c r="L1249" t="s">
        <v>120</v>
      </c>
      <c r="M1249" t="s">
        <v>121</v>
      </c>
      <c r="N1249" t="s">
        <v>1736</v>
      </c>
      <c r="O1249" t="s">
        <v>89</v>
      </c>
      <c r="P1249" t="str">
        <f>"4170072604                    "</f>
        <v xml:space="preserve">4170072604                    </v>
      </c>
      <c r="Q1249">
        <v>0</v>
      </c>
      <c r="R1249">
        <v>0</v>
      </c>
      <c r="S1249">
        <v>0</v>
      </c>
      <c r="T1249">
        <v>0</v>
      </c>
      <c r="U1249">
        <v>0</v>
      </c>
      <c r="V1249">
        <v>0</v>
      </c>
      <c r="W1249">
        <v>0</v>
      </c>
      <c r="X1249">
        <v>0</v>
      </c>
      <c r="Y1249">
        <v>0</v>
      </c>
      <c r="Z1249">
        <v>0</v>
      </c>
      <c r="AA1249">
        <v>0</v>
      </c>
      <c r="AB1249">
        <v>0</v>
      </c>
      <c r="AC1249">
        <v>0</v>
      </c>
      <c r="AD1249">
        <v>0</v>
      </c>
      <c r="AE1249">
        <v>0</v>
      </c>
      <c r="AF1249">
        <v>0</v>
      </c>
      <c r="AG1249">
        <v>0</v>
      </c>
      <c r="AH1249">
        <v>0</v>
      </c>
      <c r="AI1249">
        <v>0</v>
      </c>
      <c r="AJ1249">
        <v>0</v>
      </c>
      <c r="AK1249">
        <v>0</v>
      </c>
      <c r="AL1249">
        <v>0</v>
      </c>
      <c r="AM1249">
        <v>0</v>
      </c>
      <c r="AN1249">
        <v>0</v>
      </c>
      <c r="AO1249">
        <v>0</v>
      </c>
      <c r="AP1249">
        <v>0</v>
      </c>
      <c r="AQ1249">
        <v>25.52</v>
      </c>
      <c r="AR1249">
        <v>0</v>
      </c>
      <c r="AS1249">
        <v>0</v>
      </c>
      <c r="AT1249">
        <v>0</v>
      </c>
      <c r="AU1249">
        <v>0</v>
      </c>
      <c r="AV1249">
        <v>0</v>
      </c>
      <c r="AW1249">
        <v>0</v>
      </c>
      <c r="AX1249">
        <v>0</v>
      </c>
      <c r="AY1249">
        <v>0</v>
      </c>
      <c r="AZ1249">
        <v>0</v>
      </c>
      <c r="BA1249">
        <v>0</v>
      </c>
      <c r="BB1249">
        <v>0</v>
      </c>
      <c r="BC1249">
        <v>0</v>
      </c>
      <c r="BD1249">
        <v>0</v>
      </c>
      <c r="BE1249">
        <v>0</v>
      </c>
      <c r="BF1249">
        <v>0</v>
      </c>
      <c r="BG1249">
        <v>0</v>
      </c>
      <c r="BH1249">
        <v>1</v>
      </c>
      <c r="BI1249">
        <v>1</v>
      </c>
      <c r="BJ1249">
        <v>0.7</v>
      </c>
      <c r="BK1249">
        <v>1</v>
      </c>
      <c r="BL1249">
        <v>76.06</v>
      </c>
      <c r="BM1249">
        <v>11.41</v>
      </c>
      <c r="BN1249">
        <v>87.47</v>
      </c>
      <c r="BO1249">
        <v>87.47</v>
      </c>
      <c r="BQ1249" t="s">
        <v>1737</v>
      </c>
      <c r="BR1249" t="s">
        <v>82</v>
      </c>
      <c r="BS1249" s="3">
        <v>46001</v>
      </c>
      <c r="BT1249" s="4">
        <v>0.33333333333333331</v>
      </c>
      <c r="BU1249" t="s">
        <v>1979</v>
      </c>
      <c r="BV1249" t="s">
        <v>84</v>
      </c>
      <c r="BY1249">
        <v>3306</v>
      </c>
      <c r="CA1249" t="s">
        <v>126</v>
      </c>
      <c r="CC1249" t="s">
        <v>121</v>
      </c>
      <c r="CD1249">
        <v>6229</v>
      </c>
      <c r="CE1249" t="s">
        <v>86</v>
      </c>
      <c r="CF1249" s="3">
        <v>46001</v>
      </c>
      <c r="CI1249">
        <v>1</v>
      </c>
      <c r="CJ1249">
        <v>1</v>
      </c>
      <c r="CK1249">
        <v>21</v>
      </c>
      <c r="CL1249" t="s">
        <v>87</v>
      </c>
    </row>
    <row r="1250" spans="1:90" x14ac:dyDescent="0.3">
      <c r="A1250" t="s">
        <v>72</v>
      </c>
      <c r="B1250" t="s">
        <v>73</v>
      </c>
      <c r="C1250" t="s">
        <v>74</v>
      </c>
      <c r="E1250" t="str">
        <f>"080069791397"</f>
        <v>080069791397</v>
      </c>
      <c r="F1250" s="3">
        <v>46000</v>
      </c>
      <c r="G1250">
        <v>202609</v>
      </c>
      <c r="H1250" t="s">
        <v>75</v>
      </c>
      <c r="I1250" t="s">
        <v>76</v>
      </c>
      <c r="J1250" t="s">
        <v>77</v>
      </c>
      <c r="K1250" t="s">
        <v>78</v>
      </c>
      <c r="L1250" t="s">
        <v>100</v>
      </c>
      <c r="M1250" t="s">
        <v>101</v>
      </c>
      <c r="N1250" t="s">
        <v>498</v>
      </c>
      <c r="O1250" t="s">
        <v>89</v>
      </c>
      <c r="P1250" t="str">
        <f>"4170072721                    "</f>
        <v xml:space="preserve">4170072721                    </v>
      </c>
      <c r="Q1250">
        <v>0</v>
      </c>
      <c r="R1250">
        <v>0</v>
      </c>
      <c r="S1250">
        <v>0</v>
      </c>
      <c r="T1250">
        <v>0</v>
      </c>
      <c r="U1250">
        <v>0</v>
      </c>
      <c r="V1250">
        <v>0</v>
      </c>
      <c r="W1250">
        <v>0</v>
      </c>
      <c r="X1250">
        <v>0</v>
      </c>
      <c r="Y1250">
        <v>0</v>
      </c>
      <c r="Z1250">
        <v>0</v>
      </c>
      <c r="AA1250">
        <v>0</v>
      </c>
      <c r="AB1250">
        <v>0</v>
      </c>
      <c r="AC1250">
        <v>0</v>
      </c>
      <c r="AD1250">
        <v>0</v>
      </c>
      <c r="AE1250">
        <v>0</v>
      </c>
      <c r="AF1250">
        <v>0</v>
      </c>
      <c r="AG1250">
        <v>0</v>
      </c>
      <c r="AH1250">
        <v>0</v>
      </c>
      <c r="AI1250">
        <v>0</v>
      </c>
      <c r="AJ1250">
        <v>0</v>
      </c>
      <c r="AK1250">
        <v>0</v>
      </c>
      <c r="AL1250">
        <v>0</v>
      </c>
      <c r="AM1250">
        <v>0</v>
      </c>
      <c r="AN1250">
        <v>0</v>
      </c>
      <c r="AO1250">
        <v>0</v>
      </c>
      <c r="AP1250">
        <v>0</v>
      </c>
      <c r="AQ1250">
        <v>191.35</v>
      </c>
      <c r="AR1250">
        <v>0</v>
      </c>
      <c r="AS1250">
        <v>0</v>
      </c>
      <c r="AT1250">
        <v>0</v>
      </c>
      <c r="AU1250">
        <v>0</v>
      </c>
      <c r="AV1250">
        <v>0</v>
      </c>
      <c r="AW1250">
        <v>0</v>
      </c>
      <c r="AX1250">
        <v>0</v>
      </c>
      <c r="AY1250">
        <v>0</v>
      </c>
      <c r="AZ1250">
        <v>0</v>
      </c>
      <c r="BA1250">
        <v>0</v>
      </c>
      <c r="BB1250">
        <v>0</v>
      </c>
      <c r="BC1250">
        <v>0</v>
      </c>
      <c r="BD1250">
        <v>0</v>
      </c>
      <c r="BE1250">
        <v>0</v>
      </c>
      <c r="BF1250">
        <v>0</v>
      </c>
      <c r="BG1250">
        <v>0</v>
      </c>
      <c r="BH1250">
        <v>1</v>
      </c>
      <c r="BI1250">
        <v>15</v>
      </c>
      <c r="BJ1250">
        <v>5.2</v>
      </c>
      <c r="BK1250">
        <v>15</v>
      </c>
      <c r="BL1250">
        <v>570.27</v>
      </c>
      <c r="BM1250">
        <v>85.54</v>
      </c>
      <c r="BN1250">
        <v>655.81</v>
      </c>
      <c r="BO1250">
        <v>655.81</v>
      </c>
      <c r="BQ1250" t="s">
        <v>499</v>
      </c>
      <c r="BR1250" t="s">
        <v>82</v>
      </c>
      <c r="BS1250" s="3">
        <v>46001</v>
      </c>
      <c r="BT1250" s="4">
        <v>0.71388888888888891</v>
      </c>
      <c r="BU1250" t="s">
        <v>1980</v>
      </c>
      <c r="BV1250" t="s">
        <v>87</v>
      </c>
      <c r="BW1250" t="s">
        <v>246</v>
      </c>
      <c r="BX1250" t="s">
        <v>294</v>
      </c>
      <c r="BY1250">
        <v>26013</v>
      </c>
      <c r="CA1250" t="s">
        <v>1541</v>
      </c>
      <c r="CC1250" t="s">
        <v>101</v>
      </c>
      <c r="CD1250">
        <v>4052</v>
      </c>
      <c r="CE1250" t="s">
        <v>86</v>
      </c>
      <c r="CI1250">
        <v>1</v>
      </c>
      <c r="CJ1250">
        <v>1</v>
      </c>
      <c r="CK1250">
        <v>21</v>
      </c>
      <c r="CL1250" t="s">
        <v>87</v>
      </c>
    </row>
    <row r="1251" spans="1:90" x14ac:dyDescent="0.3">
      <c r="A1251" t="s">
        <v>72</v>
      </c>
      <c r="B1251" t="s">
        <v>73</v>
      </c>
      <c r="C1251" t="s">
        <v>74</v>
      </c>
      <c r="E1251" t="str">
        <f>"080011700420"</f>
        <v>080011700420</v>
      </c>
      <c r="F1251" s="3">
        <v>46000</v>
      </c>
      <c r="G1251">
        <v>202609</v>
      </c>
      <c r="H1251" t="s">
        <v>156</v>
      </c>
      <c r="I1251" t="s">
        <v>157</v>
      </c>
      <c r="J1251" t="s">
        <v>1981</v>
      </c>
      <c r="K1251" t="s">
        <v>78</v>
      </c>
      <c r="L1251" t="s">
        <v>75</v>
      </c>
      <c r="M1251" t="s">
        <v>76</v>
      </c>
      <c r="N1251" t="s">
        <v>602</v>
      </c>
      <c r="O1251" t="s">
        <v>80</v>
      </c>
      <c r="P1251" t="str">
        <f>"Gift                          "</f>
        <v xml:space="preserve">Gift                          </v>
      </c>
      <c r="Q1251">
        <v>0</v>
      </c>
      <c r="R1251">
        <v>0</v>
      </c>
      <c r="S1251">
        <v>0</v>
      </c>
      <c r="T1251">
        <v>0</v>
      </c>
      <c r="U1251">
        <v>0</v>
      </c>
      <c r="V1251">
        <v>0</v>
      </c>
      <c r="W1251">
        <v>0</v>
      </c>
      <c r="X1251">
        <v>0</v>
      </c>
      <c r="Y1251">
        <v>0</v>
      </c>
      <c r="Z1251">
        <v>0</v>
      </c>
      <c r="AA1251">
        <v>0</v>
      </c>
      <c r="AB1251">
        <v>0</v>
      </c>
      <c r="AC1251">
        <v>0</v>
      </c>
      <c r="AD1251">
        <v>0</v>
      </c>
      <c r="AE1251">
        <v>0</v>
      </c>
      <c r="AF1251">
        <v>0</v>
      </c>
      <c r="AG1251">
        <v>0</v>
      </c>
      <c r="AH1251">
        <v>0</v>
      </c>
      <c r="AI1251">
        <v>0</v>
      </c>
      <c r="AJ1251">
        <v>0</v>
      </c>
      <c r="AK1251">
        <v>0</v>
      </c>
      <c r="AL1251">
        <v>0</v>
      </c>
      <c r="AM1251">
        <v>0</v>
      </c>
      <c r="AN1251">
        <v>0</v>
      </c>
      <c r="AO1251">
        <v>0</v>
      </c>
      <c r="AP1251">
        <v>0</v>
      </c>
      <c r="AQ1251">
        <v>49.36</v>
      </c>
      <c r="AR1251">
        <v>0</v>
      </c>
      <c r="AS1251">
        <v>0</v>
      </c>
      <c r="AT1251">
        <v>0</v>
      </c>
      <c r="AU1251">
        <v>0</v>
      </c>
      <c r="AV1251">
        <v>0</v>
      </c>
      <c r="AW1251">
        <v>0</v>
      </c>
      <c r="AX1251">
        <v>0</v>
      </c>
      <c r="AY1251">
        <v>0</v>
      </c>
      <c r="AZ1251">
        <v>0</v>
      </c>
      <c r="BA1251">
        <v>0</v>
      </c>
      <c r="BB1251">
        <v>0</v>
      </c>
      <c r="BC1251">
        <v>0</v>
      </c>
      <c r="BD1251">
        <v>0</v>
      </c>
      <c r="BE1251">
        <v>0</v>
      </c>
      <c r="BF1251">
        <v>0</v>
      </c>
      <c r="BG1251">
        <v>0</v>
      </c>
      <c r="BH1251">
        <v>1</v>
      </c>
      <c r="BI1251">
        <v>1</v>
      </c>
      <c r="BJ1251">
        <v>0.2</v>
      </c>
      <c r="BK1251">
        <v>1</v>
      </c>
      <c r="BL1251">
        <v>153.19999999999999</v>
      </c>
      <c r="BM1251">
        <v>22.98</v>
      </c>
      <c r="BN1251">
        <v>176.18</v>
      </c>
      <c r="BO1251">
        <v>176.18</v>
      </c>
      <c r="BQ1251" t="s">
        <v>603</v>
      </c>
      <c r="BR1251" t="s">
        <v>1982</v>
      </c>
      <c r="BS1251" s="3">
        <v>46002</v>
      </c>
      <c r="BT1251" s="4">
        <v>0.34652777777777777</v>
      </c>
      <c r="BU1251" t="s">
        <v>1983</v>
      </c>
      <c r="BV1251" t="s">
        <v>84</v>
      </c>
      <c r="BY1251">
        <v>1200</v>
      </c>
      <c r="BZ1251" t="s">
        <v>731</v>
      </c>
      <c r="CA1251" t="s">
        <v>606</v>
      </c>
      <c r="CC1251" t="s">
        <v>76</v>
      </c>
      <c r="CD1251">
        <v>1619</v>
      </c>
      <c r="CE1251" t="s">
        <v>607</v>
      </c>
      <c r="CF1251" s="3">
        <v>46003</v>
      </c>
      <c r="CI1251">
        <v>3</v>
      </c>
      <c r="CJ1251">
        <v>2</v>
      </c>
      <c r="CK1251">
        <v>41</v>
      </c>
      <c r="CL1251" t="s">
        <v>87</v>
      </c>
    </row>
    <row r="1252" spans="1:90" x14ac:dyDescent="0.3">
      <c r="A1252" t="s">
        <v>72</v>
      </c>
      <c r="B1252" t="s">
        <v>73</v>
      </c>
      <c r="C1252" t="s">
        <v>74</v>
      </c>
      <c r="E1252" t="str">
        <f>"080069791655"</f>
        <v>080069791655</v>
      </c>
      <c r="F1252" s="3">
        <v>46000</v>
      </c>
      <c r="G1252">
        <v>202609</v>
      </c>
      <c r="H1252" t="s">
        <v>75</v>
      </c>
      <c r="I1252" t="s">
        <v>76</v>
      </c>
      <c r="J1252" t="s">
        <v>77</v>
      </c>
      <c r="K1252" t="s">
        <v>78</v>
      </c>
      <c r="L1252" t="s">
        <v>302</v>
      </c>
      <c r="M1252" t="s">
        <v>303</v>
      </c>
      <c r="N1252" t="s">
        <v>1587</v>
      </c>
      <c r="O1252" t="s">
        <v>80</v>
      </c>
      <c r="P1252" t="str">
        <f>"4170072703                    "</f>
        <v xml:space="preserve">4170072703                    </v>
      </c>
      <c r="Q1252">
        <v>0</v>
      </c>
      <c r="R1252">
        <v>0</v>
      </c>
      <c r="S1252">
        <v>0</v>
      </c>
      <c r="T1252">
        <v>0</v>
      </c>
      <c r="U1252">
        <v>0</v>
      </c>
      <c r="V1252">
        <v>0</v>
      </c>
      <c r="W1252">
        <v>0</v>
      </c>
      <c r="X1252">
        <v>0</v>
      </c>
      <c r="Y1252">
        <v>0</v>
      </c>
      <c r="Z1252">
        <v>0</v>
      </c>
      <c r="AA1252">
        <v>0</v>
      </c>
      <c r="AB1252">
        <v>0</v>
      </c>
      <c r="AC1252">
        <v>0</v>
      </c>
      <c r="AD1252">
        <v>0</v>
      </c>
      <c r="AE1252">
        <v>0</v>
      </c>
      <c r="AF1252">
        <v>0</v>
      </c>
      <c r="AG1252">
        <v>0</v>
      </c>
      <c r="AH1252">
        <v>0</v>
      </c>
      <c r="AI1252">
        <v>0</v>
      </c>
      <c r="AJ1252">
        <v>0</v>
      </c>
      <c r="AK1252">
        <v>0</v>
      </c>
      <c r="AL1252">
        <v>0</v>
      </c>
      <c r="AM1252">
        <v>0</v>
      </c>
      <c r="AN1252">
        <v>0</v>
      </c>
      <c r="AO1252">
        <v>0</v>
      </c>
      <c r="AP1252">
        <v>0</v>
      </c>
      <c r="AQ1252">
        <v>49.36</v>
      </c>
      <c r="AR1252">
        <v>0</v>
      </c>
      <c r="AS1252">
        <v>0</v>
      </c>
      <c r="AT1252">
        <v>0</v>
      </c>
      <c r="AU1252">
        <v>0</v>
      </c>
      <c r="AV1252">
        <v>0</v>
      </c>
      <c r="AW1252">
        <v>0</v>
      </c>
      <c r="AX1252">
        <v>0</v>
      </c>
      <c r="AY1252">
        <v>0</v>
      </c>
      <c r="AZ1252">
        <v>0</v>
      </c>
      <c r="BA1252">
        <v>0</v>
      </c>
      <c r="BB1252">
        <v>0</v>
      </c>
      <c r="BC1252">
        <v>0</v>
      </c>
      <c r="BD1252">
        <v>0</v>
      </c>
      <c r="BE1252">
        <v>0</v>
      </c>
      <c r="BF1252">
        <v>0</v>
      </c>
      <c r="BG1252">
        <v>0</v>
      </c>
      <c r="BH1252">
        <v>2</v>
      </c>
      <c r="BI1252">
        <v>1.2</v>
      </c>
      <c r="BJ1252">
        <v>8.1</v>
      </c>
      <c r="BK1252">
        <v>9</v>
      </c>
      <c r="BL1252">
        <v>153.19999999999999</v>
      </c>
      <c r="BM1252">
        <v>22.98</v>
      </c>
      <c r="BN1252">
        <v>176.18</v>
      </c>
      <c r="BO1252">
        <v>176.18</v>
      </c>
      <c r="BQ1252" t="s">
        <v>1588</v>
      </c>
      <c r="BR1252" t="s">
        <v>82</v>
      </c>
      <c r="BS1252" s="3">
        <v>46001</v>
      </c>
      <c r="BT1252" s="4">
        <v>0.39583333333333331</v>
      </c>
      <c r="BU1252" t="s">
        <v>1589</v>
      </c>
      <c r="BV1252" t="s">
        <v>84</v>
      </c>
      <c r="BY1252">
        <v>40251</v>
      </c>
      <c r="CC1252" t="s">
        <v>303</v>
      </c>
      <c r="CD1252" s="5" t="s">
        <v>1590</v>
      </c>
      <c r="CE1252" t="s">
        <v>760</v>
      </c>
      <c r="CI1252">
        <v>1</v>
      </c>
      <c r="CJ1252">
        <v>1</v>
      </c>
      <c r="CK1252">
        <v>41</v>
      </c>
      <c r="CL1252" t="s">
        <v>87</v>
      </c>
    </row>
    <row r="1253" spans="1:90" x14ac:dyDescent="0.3">
      <c r="A1253" t="s">
        <v>72</v>
      </c>
      <c r="B1253" t="s">
        <v>73</v>
      </c>
      <c r="C1253" t="s">
        <v>74</v>
      </c>
      <c r="E1253" t="str">
        <f>"080069792509"</f>
        <v>080069792509</v>
      </c>
      <c r="F1253" s="3">
        <v>46000</v>
      </c>
      <c r="G1253">
        <v>202609</v>
      </c>
      <c r="H1253" t="s">
        <v>75</v>
      </c>
      <c r="I1253" t="s">
        <v>76</v>
      </c>
      <c r="J1253" t="s">
        <v>77</v>
      </c>
      <c r="K1253" t="s">
        <v>78</v>
      </c>
      <c r="L1253" t="s">
        <v>141</v>
      </c>
      <c r="M1253" t="s">
        <v>142</v>
      </c>
      <c r="N1253" t="s">
        <v>587</v>
      </c>
      <c r="O1253" t="s">
        <v>89</v>
      </c>
      <c r="P1253" t="str">
        <f>"4170072650                    "</f>
        <v xml:space="preserve">4170072650                    </v>
      </c>
      <c r="Q1253">
        <v>0</v>
      </c>
      <c r="R1253">
        <v>0</v>
      </c>
      <c r="S1253">
        <v>0</v>
      </c>
      <c r="T1253">
        <v>0</v>
      </c>
      <c r="U1253">
        <v>0</v>
      </c>
      <c r="V1253">
        <v>0</v>
      </c>
      <c r="W1253">
        <v>0</v>
      </c>
      <c r="X1253">
        <v>0</v>
      </c>
      <c r="Y1253">
        <v>0</v>
      </c>
      <c r="Z1253">
        <v>0</v>
      </c>
      <c r="AA1253">
        <v>0</v>
      </c>
      <c r="AB1253">
        <v>0</v>
      </c>
      <c r="AC1253">
        <v>0</v>
      </c>
      <c r="AD1253">
        <v>0</v>
      </c>
      <c r="AE1253">
        <v>0</v>
      </c>
      <c r="AF1253">
        <v>0</v>
      </c>
      <c r="AG1253">
        <v>0</v>
      </c>
      <c r="AH1253">
        <v>0</v>
      </c>
      <c r="AI1253">
        <v>0</v>
      </c>
      <c r="AJ1253">
        <v>0</v>
      </c>
      <c r="AK1253">
        <v>0</v>
      </c>
      <c r="AL1253">
        <v>0</v>
      </c>
      <c r="AM1253">
        <v>0</v>
      </c>
      <c r="AN1253">
        <v>0</v>
      </c>
      <c r="AO1253">
        <v>0</v>
      </c>
      <c r="AP1253">
        <v>0</v>
      </c>
      <c r="AQ1253">
        <v>63.79</v>
      </c>
      <c r="AR1253">
        <v>0</v>
      </c>
      <c r="AS1253">
        <v>0</v>
      </c>
      <c r="AT1253">
        <v>0</v>
      </c>
      <c r="AU1253">
        <v>0</v>
      </c>
      <c r="AV1253">
        <v>0</v>
      </c>
      <c r="AW1253">
        <v>0</v>
      </c>
      <c r="AX1253">
        <v>0</v>
      </c>
      <c r="AY1253">
        <v>0</v>
      </c>
      <c r="AZ1253">
        <v>0</v>
      </c>
      <c r="BA1253">
        <v>0</v>
      </c>
      <c r="BB1253">
        <v>0</v>
      </c>
      <c r="BC1253">
        <v>0</v>
      </c>
      <c r="BD1253">
        <v>0</v>
      </c>
      <c r="BE1253">
        <v>0</v>
      </c>
      <c r="BF1253">
        <v>0</v>
      </c>
      <c r="BG1253">
        <v>0</v>
      </c>
      <c r="BH1253">
        <v>1</v>
      </c>
      <c r="BI1253">
        <v>5</v>
      </c>
      <c r="BJ1253">
        <v>3.4</v>
      </c>
      <c r="BK1253">
        <v>5</v>
      </c>
      <c r="BL1253">
        <v>190.11</v>
      </c>
      <c r="BM1253">
        <v>28.52</v>
      </c>
      <c r="BN1253">
        <v>218.63</v>
      </c>
      <c r="BO1253">
        <v>218.63</v>
      </c>
      <c r="BQ1253" t="s">
        <v>588</v>
      </c>
      <c r="BR1253" t="s">
        <v>82</v>
      </c>
      <c r="BS1253" s="3">
        <v>46001</v>
      </c>
      <c r="BT1253" s="4">
        <v>0.40347222222222223</v>
      </c>
      <c r="BU1253" t="s">
        <v>1898</v>
      </c>
      <c r="BV1253" t="s">
        <v>84</v>
      </c>
      <c r="BY1253">
        <v>16965</v>
      </c>
      <c r="CA1253" t="s">
        <v>571</v>
      </c>
      <c r="CC1253" t="s">
        <v>142</v>
      </c>
      <c r="CD1253">
        <v>6001</v>
      </c>
      <c r="CE1253" t="s">
        <v>86</v>
      </c>
      <c r="CI1253">
        <v>1</v>
      </c>
      <c r="CJ1253">
        <v>1</v>
      </c>
      <c r="CK1253">
        <v>21</v>
      </c>
      <c r="CL1253" t="s">
        <v>87</v>
      </c>
    </row>
    <row r="1254" spans="1:90" x14ac:dyDescent="0.3">
      <c r="A1254" t="s">
        <v>72</v>
      </c>
      <c r="B1254" t="s">
        <v>73</v>
      </c>
      <c r="C1254" t="s">
        <v>74</v>
      </c>
      <c r="E1254" t="str">
        <f>"080069792558"</f>
        <v>080069792558</v>
      </c>
      <c r="F1254" s="3">
        <v>46000</v>
      </c>
      <c r="G1254">
        <v>202609</v>
      </c>
      <c r="H1254" t="s">
        <v>75</v>
      </c>
      <c r="I1254" t="s">
        <v>76</v>
      </c>
      <c r="J1254" t="s">
        <v>77</v>
      </c>
      <c r="K1254" t="s">
        <v>78</v>
      </c>
      <c r="L1254" t="s">
        <v>189</v>
      </c>
      <c r="M1254" t="s">
        <v>190</v>
      </c>
      <c r="N1254" t="s">
        <v>1905</v>
      </c>
      <c r="O1254" t="s">
        <v>89</v>
      </c>
      <c r="P1254" t="str">
        <f>"4170072713                    "</f>
        <v xml:space="preserve">4170072713                    </v>
      </c>
      <c r="Q1254">
        <v>0</v>
      </c>
      <c r="R1254">
        <v>0</v>
      </c>
      <c r="S1254">
        <v>0</v>
      </c>
      <c r="T1254">
        <v>0</v>
      </c>
      <c r="U1254">
        <v>0</v>
      </c>
      <c r="V1254">
        <v>0</v>
      </c>
      <c r="W1254">
        <v>0</v>
      </c>
      <c r="X1254">
        <v>0</v>
      </c>
      <c r="Y1254">
        <v>0</v>
      </c>
      <c r="Z1254">
        <v>0</v>
      </c>
      <c r="AA1254">
        <v>0</v>
      </c>
      <c r="AB1254">
        <v>0</v>
      </c>
      <c r="AC1254">
        <v>0</v>
      </c>
      <c r="AD1254">
        <v>0</v>
      </c>
      <c r="AE1254">
        <v>0</v>
      </c>
      <c r="AF1254">
        <v>0</v>
      </c>
      <c r="AG1254">
        <v>0</v>
      </c>
      <c r="AH1254">
        <v>0</v>
      </c>
      <c r="AI1254">
        <v>0</v>
      </c>
      <c r="AJ1254">
        <v>0</v>
      </c>
      <c r="AK1254">
        <v>0</v>
      </c>
      <c r="AL1254">
        <v>0</v>
      </c>
      <c r="AM1254">
        <v>0</v>
      </c>
      <c r="AN1254">
        <v>0</v>
      </c>
      <c r="AO1254">
        <v>0</v>
      </c>
      <c r="AP1254">
        <v>0</v>
      </c>
      <c r="AQ1254">
        <v>25.52</v>
      </c>
      <c r="AR1254">
        <v>0</v>
      </c>
      <c r="AS1254">
        <v>0</v>
      </c>
      <c r="AT1254">
        <v>0</v>
      </c>
      <c r="AU1254">
        <v>0</v>
      </c>
      <c r="AV1254">
        <v>0</v>
      </c>
      <c r="AW1254">
        <v>0</v>
      </c>
      <c r="AX1254">
        <v>0</v>
      </c>
      <c r="AY1254">
        <v>0</v>
      </c>
      <c r="AZ1254">
        <v>0</v>
      </c>
      <c r="BA1254">
        <v>0</v>
      </c>
      <c r="BB1254">
        <v>0</v>
      </c>
      <c r="BC1254">
        <v>0</v>
      </c>
      <c r="BD1254">
        <v>0</v>
      </c>
      <c r="BE1254">
        <v>0</v>
      </c>
      <c r="BF1254">
        <v>0</v>
      </c>
      <c r="BG1254">
        <v>0</v>
      </c>
      <c r="BH1254">
        <v>1</v>
      </c>
      <c r="BI1254">
        <v>2</v>
      </c>
      <c r="BJ1254">
        <v>0.7</v>
      </c>
      <c r="BK1254">
        <v>2</v>
      </c>
      <c r="BL1254">
        <v>76.06</v>
      </c>
      <c r="BM1254">
        <v>11.41</v>
      </c>
      <c r="BN1254">
        <v>87.47</v>
      </c>
      <c r="BO1254">
        <v>87.47</v>
      </c>
      <c r="BQ1254" t="s">
        <v>1906</v>
      </c>
      <c r="BR1254" t="s">
        <v>82</v>
      </c>
      <c r="BS1254" s="3">
        <v>46002</v>
      </c>
      <c r="BT1254" s="4">
        <v>0.48402777777777778</v>
      </c>
      <c r="BU1254" t="s">
        <v>1907</v>
      </c>
      <c r="BV1254" t="s">
        <v>87</v>
      </c>
      <c r="BY1254">
        <v>3306</v>
      </c>
      <c r="CA1254" t="s">
        <v>1908</v>
      </c>
      <c r="CC1254" t="s">
        <v>190</v>
      </c>
      <c r="CD1254">
        <v>3200</v>
      </c>
      <c r="CE1254" t="s">
        <v>86</v>
      </c>
      <c r="CI1254">
        <v>1</v>
      </c>
      <c r="CJ1254">
        <v>2</v>
      </c>
      <c r="CK1254">
        <v>21</v>
      </c>
      <c r="CL1254" t="s">
        <v>87</v>
      </c>
    </row>
    <row r="1255" spans="1:90" x14ac:dyDescent="0.3">
      <c r="A1255" t="s">
        <v>72</v>
      </c>
      <c r="B1255" t="s">
        <v>73</v>
      </c>
      <c r="C1255" t="s">
        <v>74</v>
      </c>
      <c r="E1255" t="str">
        <f>"080069792575"</f>
        <v>080069792575</v>
      </c>
      <c r="F1255" s="3">
        <v>46000</v>
      </c>
      <c r="G1255">
        <v>202609</v>
      </c>
      <c r="H1255" t="s">
        <v>75</v>
      </c>
      <c r="I1255" t="s">
        <v>76</v>
      </c>
      <c r="J1255" t="s">
        <v>77</v>
      </c>
      <c r="K1255" t="s">
        <v>78</v>
      </c>
      <c r="L1255" t="s">
        <v>156</v>
      </c>
      <c r="M1255" t="s">
        <v>157</v>
      </c>
      <c r="N1255" t="s">
        <v>261</v>
      </c>
      <c r="O1255" t="s">
        <v>89</v>
      </c>
      <c r="P1255" t="str">
        <f>"4170072652                    "</f>
        <v xml:space="preserve">4170072652                    </v>
      </c>
      <c r="Q1255">
        <v>0</v>
      </c>
      <c r="R1255">
        <v>0</v>
      </c>
      <c r="S1255">
        <v>0</v>
      </c>
      <c r="T1255">
        <v>0</v>
      </c>
      <c r="U1255">
        <v>0</v>
      </c>
      <c r="V1255">
        <v>0</v>
      </c>
      <c r="W1255">
        <v>0</v>
      </c>
      <c r="X1255">
        <v>0</v>
      </c>
      <c r="Y1255">
        <v>0</v>
      </c>
      <c r="Z1255">
        <v>0</v>
      </c>
      <c r="AA1255">
        <v>0</v>
      </c>
      <c r="AB1255">
        <v>0</v>
      </c>
      <c r="AC1255">
        <v>0</v>
      </c>
      <c r="AD1255">
        <v>0</v>
      </c>
      <c r="AE1255">
        <v>0</v>
      </c>
      <c r="AF1255">
        <v>0</v>
      </c>
      <c r="AG1255">
        <v>0</v>
      </c>
      <c r="AH1255">
        <v>0</v>
      </c>
      <c r="AI1255">
        <v>0</v>
      </c>
      <c r="AJ1255">
        <v>0</v>
      </c>
      <c r="AK1255">
        <v>0</v>
      </c>
      <c r="AL1255">
        <v>0</v>
      </c>
      <c r="AM1255">
        <v>0</v>
      </c>
      <c r="AN1255">
        <v>0</v>
      </c>
      <c r="AO1255">
        <v>0</v>
      </c>
      <c r="AP1255">
        <v>0</v>
      </c>
      <c r="AQ1255">
        <v>25.52</v>
      </c>
      <c r="AR1255">
        <v>0</v>
      </c>
      <c r="AS1255">
        <v>0</v>
      </c>
      <c r="AT1255">
        <v>0</v>
      </c>
      <c r="AU1255">
        <v>0</v>
      </c>
      <c r="AV1255">
        <v>0</v>
      </c>
      <c r="AW1255">
        <v>0</v>
      </c>
      <c r="AX1255">
        <v>0</v>
      </c>
      <c r="AY1255">
        <v>0</v>
      </c>
      <c r="AZ1255">
        <v>0</v>
      </c>
      <c r="BA1255">
        <v>0</v>
      </c>
      <c r="BB1255">
        <v>0</v>
      </c>
      <c r="BC1255">
        <v>0</v>
      </c>
      <c r="BD1255">
        <v>0</v>
      </c>
      <c r="BE1255">
        <v>0</v>
      </c>
      <c r="BF1255">
        <v>0</v>
      </c>
      <c r="BG1255">
        <v>0</v>
      </c>
      <c r="BH1255">
        <v>1</v>
      </c>
      <c r="BI1255">
        <v>1</v>
      </c>
      <c r="BJ1255">
        <v>0.2</v>
      </c>
      <c r="BK1255">
        <v>1</v>
      </c>
      <c r="BL1255">
        <v>76.06</v>
      </c>
      <c r="BM1255">
        <v>11.41</v>
      </c>
      <c r="BN1255">
        <v>87.47</v>
      </c>
      <c r="BO1255">
        <v>87.47</v>
      </c>
      <c r="BQ1255" t="s">
        <v>262</v>
      </c>
      <c r="BR1255" t="s">
        <v>82</v>
      </c>
      <c r="BS1255" s="3">
        <v>46001</v>
      </c>
      <c r="BT1255" s="4">
        <v>0.39583333333333331</v>
      </c>
      <c r="BU1255" t="s">
        <v>1346</v>
      </c>
      <c r="BV1255" t="s">
        <v>84</v>
      </c>
      <c r="BY1255">
        <v>1200</v>
      </c>
      <c r="CA1255" t="s">
        <v>264</v>
      </c>
      <c r="CC1255" t="s">
        <v>157</v>
      </c>
      <c r="CD1255">
        <v>7441</v>
      </c>
      <c r="CE1255" t="s">
        <v>134</v>
      </c>
      <c r="CF1255" s="3">
        <v>46002</v>
      </c>
      <c r="CI1255">
        <v>1</v>
      </c>
      <c r="CJ1255">
        <v>1</v>
      </c>
      <c r="CK1255">
        <v>21</v>
      </c>
      <c r="CL1255" t="s">
        <v>87</v>
      </c>
    </row>
    <row r="1256" spans="1:90" x14ac:dyDescent="0.3">
      <c r="A1256" t="s">
        <v>72</v>
      </c>
      <c r="B1256" t="s">
        <v>73</v>
      </c>
      <c r="C1256" t="s">
        <v>74</v>
      </c>
      <c r="E1256" t="str">
        <f>"080069792610"</f>
        <v>080069792610</v>
      </c>
      <c r="F1256" s="3">
        <v>46000</v>
      </c>
      <c r="G1256">
        <v>202609</v>
      </c>
      <c r="H1256" t="s">
        <v>75</v>
      </c>
      <c r="I1256" t="s">
        <v>76</v>
      </c>
      <c r="J1256" t="s">
        <v>77</v>
      </c>
      <c r="K1256" t="s">
        <v>78</v>
      </c>
      <c r="L1256" t="s">
        <v>156</v>
      </c>
      <c r="M1256" t="s">
        <v>157</v>
      </c>
      <c r="N1256" t="s">
        <v>261</v>
      </c>
      <c r="O1256" t="s">
        <v>89</v>
      </c>
      <c r="P1256" t="str">
        <f>"4170072645                    "</f>
        <v xml:space="preserve">4170072645                    </v>
      </c>
      <c r="Q1256">
        <v>0</v>
      </c>
      <c r="R1256">
        <v>0</v>
      </c>
      <c r="S1256">
        <v>0</v>
      </c>
      <c r="T1256">
        <v>0</v>
      </c>
      <c r="U1256">
        <v>0</v>
      </c>
      <c r="V1256">
        <v>0</v>
      </c>
      <c r="W1256">
        <v>0</v>
      </c>
      <c r="X1256">
        <v>0</v>
      </c>
      <c r="Y1256">
        <v>0</v>
      </c>
      <c r="Z1256">
        <v>0</v>
      </c>
      <c r="AA1256">
        <v>0</v>
      </c>
      <c r="AB1256">
        <v>0</v>
      </c>
      <c r="AC1256">
        <v>0</v>
      </c>
      <c r="AD1256">
        <v>0</v>
      </c>
      <c r="AE1256">
        <v>0</v>
      </c>
      <c r="AF1256">
        <v>0</v>
      </c>
      <c r="AG1256">
        <v>0</v>
      </c>
      <c r="AH1256">
        <v>0</v>
      </c>
      <c r="AI1256">
        <v>0</v>
      </c>
      <c r="AJ1256">
        <v>0</v>
      </c>
      <c r="AK1256">
        <v>0</v>
      </c>
      <c r="AL1256">
        <v>0</v>
      </c>
      <c r="AM1256">
        <v>0</v>
      </c>
      <c r="AN1256">
        <v>0</v>
      </c>
      <c r="AO1256">
        <v>0</v>
      </c>
      <c r="AP1256">
        <v>0</v>
      </c>
      <c r="AQ1256">
        <v>25.52</v>
      </c>
      <c r="AR1256">
        <v>0</v>
      </c>
      <c r="AS1256">
        <v>0</v>
      </c>
      <c r="AT1256">
        <v>0</v>
      </c>
      <c r="AU1256">
        <v>0</v>
      </c>
      <c r="AV1256">
        <v>0</v>
      </c>
      <c r="AW1256">
        <v>0</v>
      </c>
      <c r="AX1256">
        <v>0</v>
      </c>
      <c r="AY1256">
        <v>0</v>
      </c>
      <c r="AZ1256">
        <v>0</v>
      </c>
      <c r="BA1256">
        <v>0</v>
      </c>
      <c r="BB1256">
        <v>0</v>
      </c>
      <c r="BC1256">
        <v>0</v>
      </c>
      <c r="BD1256">
        <v>0</v>
      </c>
      <c r="BE1256">
        <v>0</v>
      </c>
      <c r="BF1256">
        <v>0</v>
      </c>
      <c r="BG1256">
        <v>0</v>
      </c>
      <c r="BH1256">
        <v>1</v>
      </c>
      <c r="BI1256">
        <v>1</v>
      </c>
      <c r="BJ1256">
        <v>0.2</v>
      </c>
      <c r="BK1256">
        <v>1</v>
      </c>
      <c r="BL1256">
        <v>76.06</v>
      </c>
      <c r="BM1256">
        <v>11.41</v>
      </c>
      <c r="BN1256">
        <v>87.47</v>
      </c>
      <c r="BO1256">
        <v>87.47</v>
      </c>
      <c r="BQ1256" t="s">
        <v>262</v>
      </c>
      <c r="BR1256" t="s">
        <v>82</v>
      </c>
      <c r="BS1256" s="3">
        <v>46001</v>
      </c>
      <c r="BT1256" s="4">
        <v>0.39583333333333331</v>
      </c>
      <c r="BU1256" t="s">
        <v>1346</v>
      </c>
      <c r="BV1256" t="s">
        <v>84</v>
      </c>
      <c r="BY1256">
        <v>1200</v>
      </c>
      <c r="CA1256" t="s">
        <v>264</v>
      </c>
      <c r="CC1256" t="s">
        <v>157</v>
      </c>
      <c r="CD1256">
        <v>7441</v>
      </c>
      <c r="CE1256" t="s">
        <v>134</v>
      </c>
      <c r="CF1256" s="3">
        <v>46002</v>
      </c>
      <c r="CI1256">
        <v>1</v>
      </c>
      <c r="CJ1256">
        <v>1</v>
      </c>
      <c r="CK1256">
        <v>21</v>
      </c>
      <c r="CL1256" t="s">
        <v>87</v>
      </c>
    </row>
    <row r="1257" spans="1:90" x14ac:dyDescent="0.3">
      <c r="A1257" t="s">
        <v>72</v>
      </c>
      <c r="B1257" t="s">
        <v>73</v>
      </c>
      <c r="C1257" t="s">
        <v>74</v>
      </c>
      <c r="E1257" t="str">
        <f>"080069792653"</f>
        <v>080069792653</v>
      </c>
      <c r="F1257" s="3">
        <v>46000</v>
      </c>
      <c r="G1257">
        <v>202609</v>
      </c>
      <c r="H1257" t="s">
        <v>75</v>
      </c>
      <c r="I1257" t="s">
        <v>76</v>
      </c>
      <c r="J1257" t="s">
        <v>77</v>
      </c>
      <c r="K1257" t="s">
        <v>78</v>
      </c>
      <c r="L1257" t="s">
        <v>156</v>
      </c>
      <c r="M1257" t="s">
        <v>157</v>
      </c>
      <c r="N1257" t="s">
        <v>261</v>
      </c>
      <c r="O1257" t="s">
        <v>89</v>
      </c>
      <c r="P1257" t="str">
        <f>"4170072649                    "</f>
        <v xml:space="preserve">4170072649                    </v>
      </c>
      <c r="Q1257">
        <v>0</v>
      </c>
      <c r="R1257">
        <v>0</v>
      </c>
      <c r="S1257">
        <v>0</v>
      </c>
      <c r="T1257">
        <v>0</v>
      </c>
      <c r="U1257">
        <v>0</v>
      </c>
      <c r="V1257">
        <v>0</v>
      </c>
      <c r="W1257">
        <v>0</v>
      </c>
      <c r="X1257">
        <v>0</v>
      </c>
      <c r="Y1257">
        <v>0</v>
      </c>
      <c r="Z1257">
        <v>0</v>
      </c>
      <c r="AA1257">
        <v>0</v>
      </c>
      <c r="AB1257">
        <v>0</v>
      </c>
      <c r="AC1257">
        <v>0</v>
      </c>
      <c r="AD1257">
        <v>0</v>
      </c>
      <c r="AE1257">
        <v>0</v>
      </c>
      <c r="AF1257">
        <v>0</v>
      </c>
      <c r="AG1257">
        <v>0</v>
      </c>
      <c r="AH1257">
        <v>0</v>
      </c>
      <c r="AI1257">
        <v>0</v>
      </c>
      <c r="AJ1257">
        <v>0</v>
      </c>
      <c r="AK1257">
        <v>0</v>
      </c>
      <c r="AL1257">
        <v>0</v>
      </c>
      <c r="AM1257">
        <v>0</v>
      </c>
      <c r="AN1257">
        <v>0</v>
      </c>
      <c r="AO1257">
        <v>0</v>
      </c>
      <c r="AP1257">
        <v>0</v>
      </c>
      <c r="AQ1257">
        <v>25.52</v>
      </c>
      <c r="AR1257">
        <v>0</v>
      </c>
      <c r="AS1257">
        <v>0</v>
      </c>
      <c r="AT1257">
        <v>0</v>
      </c>
      <c r="AU1257">
        <v>0</v>
      </c>
      <c r="AV1257">
        <v>0</v>
      </c>
      <c r="AW1257">
        <v>0</v>
      </c>
      <c r="AX1257">
        <v>0</v>
      </c>
      <c r="AY1257">
        <v>0</v>
      </c>
      <c r="AZ1257">
        <v>0</v>
      </c>
      <c r="BA1257">
        <v>0</v>
      </c>
      <c r="BB1257">
        <v>0</v>
      </c>
      <c r="BC1257">
        <v>0</v>
      </c>
      <c r="BD1257">
        <v>0</v>
      </c>
      <c r="BE1257">
        <v>0</v>
      </c>
      <c r="BF1257">
        <v>0</v>
      </c>
      <c r="BG1257">
        <v>0</v>
      </c>
      <c r="BH1257">
        <v>1</v>
      </c>
      <c r="BI1257">
        <v>1</v>
      </c>
      <c r="BJ1257">
        <v>0.2</v>
      </c>
      <c r="BK1257">
        <v>1</v>
      </c>
      <c r="BL1257">
        <v>76.06</v>
      </c>
      <c r="BM1257">
        <v>11.41</v>
      </c>
      <c r="BN1257">
        <v>87.47</v>
      </c>
      <c r="BO1257">
        <v>87.47</v>
      </c>
      <c r="BQ1257" t="s">
        <v>262</v>
      </c>
      <c r="BR1257" t="s">
        <v>82</v>
      </c>
      <c r="BS1257" s="3">
        <v>46001</v>
      </c>
      <c r="BT1257" s="4">
        <v>0.39583333333333331</v>
      </c>
      <c r="BU1257" t="s">
        <v>1346</v>
      </c>
      <c r="BV1257" t="s">
        <v>84</v>
      </c>
      <c r="BY1257">
        <v>1200</v>
      </c>
      <c r="CA1257" t="s">
        <v>264</v>
      </c>
      <c r="CC1257" t="s">
        <v>157</v>
      </c>
      <c r="CD1257">
        <v>7441</v>
      </c>
      <c r="CE1257" t="s">
        <v>134</v>
      </c>
      <c r="CF1257" s="3">
        <v>46002</v>
      </c>
      <c r="CI1257">
        <v>1</v>
      </c>
      <c r="CJ1257">
        <v>1</v>
      </c>
      <c r="CK1257">
        <v>21</v>
      </c>
      <c r="CL1257" t="s">
        <v>87</v>
      </c>
    </row>
    <row r="1258" spans="1:90" x14ac:dyDescent="0.3">
      <c r="A1258" t="s">
        <v>72</v>
      </c>
      <c r="B1258" t="s">
        <v>73</v>
      </c>
      <c r="C1258" t="s">
        <v>74</v>
      </c>
      <c r="E1258" t="str">
        <f>"080069792670"</f>
        <v>080069792670</v>
      </c>
      <c r="F1258" s="3">
        <v>46000</v>
      </c>
      <c r="G1258">
        <v>202609</v>
      </c>
      <c r="H1258" t="s">
        <v>75</v>
      </c>
      <c r="I1258" t="s">
        <v>76</v>
      </c>
      <c r="J1258" t="s">
        <v>77</v>
      </c>
      <c r="K1258" t="s">
        <v>78</v>
      </c>
      <c r="L1258" t="s">
        <v>141</v>
      </c>
      <c r="M1258" t="s">
        <v>142</v>
      </c>
      <c r="N1258" t="s">
        <v>143</v>
      </c>
      <c r="O1258" t="s">
        <v>80</v>
      </c>
      <c r="P1258" t="str">
        <f>"4170072730                    "</f>
        <v xml:space="preserve">4170072730                    </v>
      </c>
      <c r="Q1258">
        <v>0</v>
      </c>
      <c r="R1258">
        <v>0</v>
      </c>
      <c r="S1258">
        <v>0</v>
      </c>
      <c r="T1258">
        <v>0</v>
      </c>
      <c r="U1258">
        <v>0</v>
      </c>
      <c r="V1258">
        <v>0</v>
      </c>
      <c r="W1258">
        <v>0</v>
      </c>
      <c r="X1258">
        <v>0</v>
      </c>
      <c r="Y1258">
        <v>0</v>
      </c>
      <c r="Z1258">
        <v>0</v>
      </c>
      <c r="AA1258">
        <v>0</v>
      </c>
      <c r="AB1258">
        <v>0</v>
      </c>
      <c r="AC1258">
        <v>0</v>
      </c>
      <c r="AD1258">
        <v>0</v>
      </c>
      <c r="AE1258">
        <v>0</v>
      </c>
      <c r="AF1258">
        <v>0</v>
      </c>
      <c r="AG1258">
        <v>0</v>
      </c>
      <c r="AH1258">
        <v>0</v>
      </c>
      <c r="AI1258">
        <v>0</v>
      </c>
      <c r="AJ1258">
        <v>0</v>
      </c>
      <c r="AK1258">
        <v>0</v>
      </c>
      <c r="AL1258">
        <v>0</v>
      </c>
      <c r="AM1258">
        <v>0</v>
      </c>
      <c r="AN1258">
        <v>0</v>
      </c>
      <c r="AO1258">
        <v>0</v>
      </c>
      <c r="AP1258">
        <v>0</v>
      </c>
      <c r="AQ1258">
        <v>243.18</v>
      </c>
      <c r="AR1258">
        <v>0</v>
      </c>
      <c r="AS1258">
        <v>0</v>
      </c>
      <c r="AT1258">
        <v>0</v>
      </c>
      <c r="AU1258">
        <v>0</v>
      </c>
      <c r="AV1258">
        <v>0</v>
      </c>
      <c r="AW1258">
        <v>0</v>
      </c>
      <c r="AX1258">
        <v>0</v>
      </c>
      <c r="AY1258">
        <v>0</v>
      </c>
      <c r="AZ1258">
        <v>0</v>
      </c>
      <c r="BA1258">
        <v>0</v>
      </c>
      <c r="BB1258">
        <v>0</v>
      </c>
      <c r="BC1258">
        <v>0</v>
      </c>
      <c r="BD1258">
        <v>0</v>
      </c>
      <c r="BE1258">
        <v>0</v>
      </c>
      <c r="BF1258">
        <v>0</v>
      </c>
      <c r="BG1258">
        <v>0</v>
      </c>
      <c r="BH1258">
        <v>1</v>
      </c>
      <c r="BI1258">
        <v>50</v>
      </c>
      <c r="BJ1258">
        <v>109.6</v>
      </c>
      <c r="BK1258">
        <v>110</v>
      </c>
      <c r="BL1258">
        <v>730.82</v>
      </c>
      <c r="BM1258">
        <v>109.62</v>
      </c>
      <c r="BN1258">
        <v>840.44</v>
      </c>
      <c r="BO1258">
        <v>840.44</v>
      </c>
      <c r="BQ1258" t="s">
        <v>144</v>
      </c>
      <c r="BR1258" t="s">
        <v>82</v>
      </c>
      <c r="BS1258" s="3">
        <v>46002</v>
      </c>
      <c r="BT1258" s="4">
        <v>0.3888888888888889</v>
      </c>
      <c r="BU1258" t="s">
        <v>1984</v>
      </c>
      <c r="BV1258" t="s">
        <v>84</v>
      </c>
      <c r="BY1258">
        <v>547965</v>
      </c>
      <c r="CC1258" t="s">
        <v>142</v>
      </c>
      <c r="CD1258">
        <v>6001</v>
      </c>
      <c r="CE1258" t="s">
        <v>567</v>
      </c>
      <c r="CI1258">
        <v>3</v>
      </c>
      <c r="CJ1258">
        <v>2</v>
      </c>
      <c r="CK1258">
        <v>41</v>
      </c>
      <c r="CL1258" t="s">
        <v>87</v>
      </c>
    </row>
    <row r="1259" spans="1:90" x14ac:dyDescent="0.3">
      <c r="A1259" t="s">
        <v>72</v>
      </c>
      <c r="B1259" t="s">
        <v>73</v>
      </c>
      <c r="C1259" t="s">
        <v>74</v>
      </c>
      <c r="E1259" t="str">
        <f>"080069792804"</f>
        <v>080069792804</v>
      </c>
      <c r="F1259" s="3">
        <v>46000</v>
      </c>
      <c r="G1259">
        <v>202609</v>
      </c>
      <c r="H1259" t="s">
        <v>75</v>
      </c>
      <c r="I1259" t="s">
        <v>76</v>
      </c>
      <c r="J1259" t="s">
        <v>77</v>
      </c>
      <c r="K1259" t="s">
        <v>78</v>
      </c>
      <c r="L1259" t="s">
        <v>265</v>
      </c>
      <c r="M1259" t="s">
        <v>266</v>
      </c>
      <c r="N1259" t="s">
        <v>1985</v>
      </c>
      <c r="O1259" t="s">
        <v>340</v>
      </c>
      <c r="P1259" t="str">
        <f>"4170072680                    "</f>
        <v xml:space="preserve">4170072680                    </v>
      </c>
      <c r="Q1259">
        <v>0</v>
      </c>
      <c r="R1259">
        <v>0</v>
      </c>
      <c r="S1259">
        <v>0</v>
      </c>
      <c r="T1259">
        <v>0</v>
      </c>
      <c r="U1259">
        <v>0</v>
      </c>
      <c r="V1259">
        <v>0</v>
      </c>
      <c r="W1259">
        <v>0</v>
      </c>
      <c r="X1259">
        <v>0</v>
      </c>
      <c r="Y1259">
        <v>0</v>
      </c>
      <c r="Z1259">
        <v>0</v>
      </c>
      <c r="AA1259">
        <v>0</v>
      </c>
      <c r="AB1259">
        <v>0</v>
      </c>
      <c r="AC1259">
        <v>0</v>
      </c>
      <c r="AD1259">
        <v>0</v>
      </c>
      <c r="AE1259">
        <v>0</v>
      </c>
      <c r="AF1259">
        <v>0</v>
      </c>
      <c r="AG1259">
        <v>0</v>
      </c>
      <c r="AH1259">
        <v>0</v>
      </c>
      <c r="AI1259">
        <v>0</v>
      </c>
      <c r="AJ1259">
        <v>0</v>
      </c>
      <c r="AK1259">
        <v>0</v>
      </c>
      <c r="AL1259">
        <v>0</v>
      </c>
      <c r="AM1259">
        <v>0</v>
      </c>
      <c r="AN1259">
        <v>0</v>
      </c>
      <c r="AO1259">
        <v>0</v>
      </c>
      <c r="AP1259">
        <v>0</v>
      </c>
      <c r="AQ1259">
        <v>19.940000000000001</v>
      </c>
      <c r="AR1259">
        <v>0</v>
      </c>
      <c r="AS1259">
        <v>0</v>
      </c>
      <c r="AT1259">
        <v>0</v>
      </c>
      <c r="AU1259">
        <v>0</v>
      </c>
      <c r="AV1259">
        <v>0</v>
      </c>
      <c r="AW1259">
        <v>0</v>
      </c>
      <c r="AX1259">
        <v>0</v>
      </c>
      <c r="AY1259">
        <v>0</v>
      </c>
      <c r="AZ1259">
        <v>0</v>
      </c>
      <c r="BA1259">
        <v>0</v>
      </c>
      <c r="BB1259">
        <v>0</v>
      </c>
      <c r="BC1259">
        <v>0</v>
      </c>
      <c r="BD1259">
        <v>0</v>
      </c>
      <c r="BE1259">
        <v>0</v>
      </c>
      <c r="BF1259">
        <v>0</v>
      </c>
      <c r="BG1259">
        <v>0</v>
      </c>
      <c r="BH1259">
        <v>1</v>
      </c>
      <c r="BI1259">
        <v>4</v>
      </c>
      <c r="BJ1259">
        <v>3</v>
      </c>
      <c r="BK1259">
        <v>4</v>
      </c>
      <c r="BL1259">
        <v>59.43</v>
      </c>
      <c r="BM1259">
        <v>8.91</v>
      </c>
      <c r="BN1259">
        <v>68.34</v>
      </c>
      <c r="BO1259">
        <v>68.34</v>
      </c>
      <c r="BQ1259" t="s">
        <v>1986</v>
      </c>
      <c r="BR1259" t="s">
        <v>82</v>
      </c>
      <c r="BS1259" s="3">
        <v>46001</v>
      </c>
      <c r="BT1259" s="4">
        <v>0.6166666666666667</v>
      </c>
      <c r="BU1259" t="s">
        <v>1987</v>
      </c>
      <c r="BV1259" t="s">
        <v>84</v>
      </c>
      <c r="BY1259">
        <v>15120</v>
      </c>
      <c r="CA1259" t="s">
        <v>417</v>
      </c>
      <c r="CC1259" t="s">
        <v>266</v>
      </c>
      <c r="CD1259">
        <v>1459</v>
      </c>
      <c r="CE1259" t="s">
        <v>93</v>
      </c>
      <c r="CF1259" s="3">
        <v>46001</v>
      </c>
      <c r="CI1259">
        <v>1</v>
      </c>
      <c r="CJ1259">
        <v>1</v>
      </c>
      <c r="CK1259">
        <v>32</v>
      </c>
      <c r="CL1259" t="s">
        <v>87</v>
      </c>
    </row>
    <row r="1260" spans="1:90" x14ac:dyDescent="0.3">
      <c r="A1260" t="s">
        <v>72</v>
      </c>
      <c r="B1260" t="s">
        <v>73</v>
      </c>
      <c r="C1260" t="s">
        <v>74</v>
      </c>
      <c r="E1260" t="str">
        <f>"080069792830"</f>
        <v>080069792830</v>
      </c>
      <c r="F1260" s="3">
        <v>46000</v>
      </c>
      <c r="G1260">
        <v>202609</v>
      </c>
      <c r="H1260" t="s">
        <v>75</v>
      </c>
      <c r="I1260" t="s">
        <v>76</v>
      </c>
      <c r="J1260" t="s">
        <v>77</v>
      </c>
      <c r="K1260" t="s">
        <v>78</v>
      </c>
      <c r="L1260" t="s">
        <v>100</v>
      </c>
      <c r="M1260" t="s">
        <v>101</v>
      </c>
      <c r="N1260" t="s">
        <v>1153</v>
      </c>
      <c r="O1260" t="s">
        <v>89</v>
      </c>
      <c r="P1260" t="str">
        <f>"4170072726                    "</f>
        <v xml:space="preserve">4170072726                    </v>
      </c>
      <c r="Q1260">
        <v>0</v>
      </c>
      <c r="R1260">
        <v>0</v>
      </c>
      <c r="S1260">
        <v>0</v>
      </c>
      <c r="T1260">
        <v>0</v>
      </c>
      <c r="U1260">
        <v>0</v>
      </c>
      <c r="V1260">
        <v>0</v>
      </c>
      <c r="W1260">
        <v>0</v>
      </c>
      <c r="X1260">
        <v>0</v>
      </c>
      <c r="Y1260">
        <v>0</v>
      </c>
      <c r="Z1260">
        <v>0</v>
      </c>
      <c r="AA1260">
        <v>0</v>
      </c>
      <c r="AB1260">
        <v>0</v>
      </c>
      <c r="AC1260">
        <v>0</v>
      </c>
      <c r="AD1260">
        <v>0</v>
      </c>
      <c r="AE1260">
        <v>0</v>
      </c>
      <c r="AF1260">
        <v>0</v>
      </c>
      <c r="AG1260">
        <v>0</v>
      </c>
      <c r="AH1260">
        <v>0</v>
      </c>
      <c r="AI1260">
        <v>0</v>
      </c>
      <c r="AJ1260">
        <v>0</v>
      </c>
      <c r="AK1260">
        <v>0</v>
      </c>
      <c r="AL1260">
        <v>0</v>
      </c>
      <c r="AM1260">
        <v>0</v>
      </c>
      <c r="AN1260">
        <v>0</v>
      </c>
      <c r="AO1260">
        <v>0</v>
      </c>
      <c r="AP1260">
        <v>0</v>
      </c>
      <c r="AQ1260">
        <v>25.52</v>
      </c>
      <c r="AR1260">
        <v>0</v>
      </c>
      <c r="AS1260">
        <v>0</v>
      </c>
      <c r="AT1260">
        <v>0</v>
      </c>
      <c r="AU1260">
        <v>0</v>
      </c>
      <c r="AV1260">
        <v>0</v>
      </c>
      <c r="AW1260">
        <v>0</v>
      </c>
      <c r="AX1260">
        <v>0</v>
      </c>
      <c r="AY1260">
        <v>0</v>
      </c>
      <c r="AZ1260">
        <v>0</v>
      </c>
      <c r="BA1260">
        <v>0</v>
      </c>
      <c r="BB1260">
        <v>0</v>
      </c>
      <c r="BC1260">
        <v>0</v>
      </c>
      <c r="BD1260">
        <v>0</v>
      </c>
      <c r="BE1260">
        <v>0</v>
      </c>
      <c r="BF1260">
        <v>0</v>
      </c>
      <c r="BG1260">
        <v>0</v>
      </c>
      <c r="BH1260">
        <v>1</v>
      </c>
      <c r="BI1260">
        <v>1</v>
      </c>
      <c r="BJ1260">
        <v>0.2</v>
      </c>
      <c r="BK1260">
        <v>1</v>
      </c>
      <c r="BL1260">
        <v>76.06</v>
      </c>
      <c r="BM1260">
        <v>11.41</v>
      </c>
      <c r="BN1260">
        <v>87.47</v>
      </c>
      <c r="BO1260">
        <v>87.47</v>
      </c>
      <c r="BQ1260" t="s">
        <v>1154</v>
      </c>
      <c r="BR1260" t="s">
        <v>82</v>
      </c>
      <c r="BS1260" s="3">
        <v>46001</v>
      </c>
      <c r="BT1260" s="4">
        <v>0.43680555555555556</v>
      </c>
      <c r="BU1260" t="s">
        <v>1988</v>
      </c>
      <c r="BV1260" t="s">
        <v>84</v>
      </c>
      <c r="BY1260">
        <v>1200</v>
      </c>
      <c r="CA1260" t="s">
        <v>1949</v>
      </c>
      <c r="CC1260" t="s">
        <v>101</v>
      </c>
      <c r="CD1260">
        <v>4052</v>
      </c>
      <c r="CE1260" t="s">
        <v>134</v>
      </c>
      <c r="CF1260" s="3">
        <v>46002</v>
      </c>
      <c r="CI1260">
        <v>1</v>
      </c>
      <c r="CJ1260">
        <v>1</v>
      </c>
      <c r="CK1260">
        <v>21</v>
      </c>
      <c r="CL1260" t="s">
        <v>87</v>
      </c>
    </row>
    <row r="1261" spans="1:90" x14ac:dyDescent="0.3">
      <c r="A1261" t="s">
        <v>72</v>
      </c>
      <c r="B1261" t="s">
        <v>73</v>
      </c>
      <c r="C1261" t="s">
        <v>74</v>
      </c>
      <c r="E1261" t="str">
        <f>"080069792845"</f>
        <v>080069792845</v>
      </c>
      <c r="F1261" s="3">
        <v>46000</v>
      </c>
      <c r="G1261">
        <v>202609</v>
      </c>
      <c r="H1261" t="s">
        <v>75</v>
      </c>
      <c r="I1261" t="s">
        <v>76</v>
      </c>
      <c r="J1261" t="s">
        <v>77</v>
      </c>
      <c r="K1261" t="s">
        <v>78</v>
      </c>
      <c r="L1261" t="s">
        <v>141</v>
      </c>
      <c r="M1261" t="s">
        <v>142</v>
      </c>
      <c r="N1261" t="s">
        <v>143</v>
      </c>
      <c r="O1261" t="s">
        <v>80</v>
      </c>
      <c r="P1261" t="str">
        <f>"4170072656                    "</f>
        <v xml:space="preserve">4170072656                    </v>
      </c>
      <c r="Q1261">
        <v>0</v>
      </c>
      <c r="R1261">
        <v>0</v>
      </c>
      <c r="S1261">
        <v>0</v>
      </c>
      <c r="T1261">
        <v>0</v>
      </c>
      <c r="U1261">
        <v>0</v>
      </c>
      <c r="V1261">
        <v>0</v>
      </c>
      <c r="W1261">
        <v>0</v>
      </c>
      <c r="X1261">
        <v>0</v>
      </c>
      <c r="Y1261">
        <v>0</v>
      </c>
      <c r="Z1261">
        <v>0</v>
      </c>
      <c r="AA1261">
        <v>0</v>
      </c>
      <c r="AB1261">
        <v>0</v>
      </c>
      <c r="AC1261">
        <v>0</v>
      </c>
      <c r="AD1261">
        <v>0</v>
      </c>
      <c r="AE1261">
        <v>0</v>
      </c>
      <c r="AF1261">
        <v>0</v>
      </c>
      <c r="AG1261">
        <v>0</v>
      </c>
      <c r="AH1261">
        <v>0</v>
      </c>
      <c r="AI1261">
        <v>0</v>
      </c>
      <c r="AJ1261">
        <v>0</v>
      </c>
      <c r="AK1261">
        <v>0</v>
      </c>
      <c r="AL1261">
        <v>0</v>
      </c>
      <c r="AM1261">
        <v>0</v>
      </c>
      <c r="AN1261">
        <v>0</v>
      </c>
      <c r="AO1261">
        <v>0</v>
      </c>
      <c r="AP1261">
        <v>0</v>
      </c>
      <c r="AQ1261">
        <v>61.6</v>
      </c>
      <c r="AR1261">
        <v>0</v>
      </c>
      <c r="AS1261">
        <v>0</v>
      </c>
      <c r="AT1261">
        <v>0</v>
      </c>
      <c r="AU1261">
        <v>0</v>
      </c>
      <c r="AV1261">
        <v>0</v>
      </c>
      <c r="AW1261">
        <v>0</v>
      </c>
      <c r="AX1261">
        <v>0</v>
      </c>
      <c r="AY1261">
        <v>0</v>
      </c>
      <c r="AZ1261">
        <v>0</v>
      </c>
      <c r="BA1261">
        <v>0</v>
      </c>
      <c r="BB1261">
        <v>0</v>
      </c>
      <c r="BC1261">
        <v>0</v>
      </c>
      <c r="BD1261">
        <v>0</v>
      </c>
      <c r="BE1261">
        <v>0</v>
      </c>
      <c r="BF1261">
        <v>0</v>
      </c>
      <c r="BG1261">
        <v>0</v>
      </c>
      <c r="BH1261">
        <v>2</v>
      </c>
      <c r="BI1261">
        <v>12</v>
      </c>
      <c r="BJ1261">
        <v>20.100000000000001</v>
      </c>
      <c r="BK1261">
        <v>21</v>
      </c>
      <c r="BL1261">
        <v>189.68</v>
      </c>
      <c r="BM1261">
        <v>28.45</v>
      </c>
      <c r="BN1261">
        <v>218.13</v>
      </c>
      <c r="BO1261">
        <v>218.13</v>
      </c>
      <c r="BQ1261" t="s">
        <v>144</v>
      </c>
      <c r="BR1261" t="s">
        <v>82</v>
      </c>
      <c r="BS1261" s="3">
        <v>46002</v>
      </c>
      <c r="BT1261" s="4">
        <v>0.51111111111111107</v>
      </c>
      <c r="BU1261" t="s">
        <v>145</v>
      </c>
      <c r="BV1261" t="s">
        <v>84</v>
      </c>
      <c r="BY1261">
        <v>100272</v>
      </c>
      <c r="CA1261" t="s">
        <v>327</v>
      </c>
      <c r="CC1261" t="s">
        <v>142</v>
      </c>
      <c r="CD1261">
        <v>6001</v>
      </c>
      <c r="CE1261" t="s">
        <v>229</v>
      </c>
      <c r="CF1261" s="3">
        <v>46002</v>
      </c>
      <c r="CI1261">
        <v>3</v>
      </c>
      <c r="CJ1261">
        <v>2</v>
      </c>
      <c r="CK1261">
        <v>41</v>
      </c>
      <c r="CL1261" t="s">
        <v>87</v>
      </c>
    </row>
    <row r="1262" spans="1:90" x14ac:dyDescent="0.3">
      <c r="A1262" t="s">
        <v>72</v>
      </c>
      <c r="B1262" t="s">
        <v>73</v>
      </c>
      <c r="C1262" t="s">
        <v>74</v>
      </c>
      <c r="E1262" t="str">
        <f>"080069792852"</f>
        <v>080069792852</v>
      </c>
      <c r="F1262" s="3">
        <v>46000</v>
      </c>
      <c r="G1262">
        <v>202609</v>
      </c>
      <c r="H1262" t="s">
        <v>75</v>
      </c>
      <c r="I1262" t="s">
        <v>76</v>
      </c>
      <c r="J1262" t="s">
        <v>77</v>
      </c>
      <c r="K1262" t="s">
        <v>78</v>
      </c>
      <c r="L1262" t="s">
        <v>189</v>
      </c>
      <c r="M1262" t="s">
        <v>190</v>
      </c>
      <c r="N1262" t="s">
        <v>1989</v>
      </c>
      <c r="O1262" t="s">
        <v>89</v>
      </c>
      <c r="P1262" t="str">
        <f>"4170072710                    "</f>
        <v xml:space="preserve">4170072710                    </v>
      </c>
      <c r="Q1262">
        <v>0</v>
      </c>
      <c r="R1262">
        <v>0</v>
      </c>
      <c r="S1262">
        <v>0</v>
      </c>
      <c r="T1262">
        <v>0</v>
      </c>
      <c r="U1262">
        <v>0</v>
      </c>
      <c r="V1262">
        <v>0</v>
      </c>
      <c r="W1262">
        <v>0</v>
      </c>
      <c r="X1262">
        <v>0</v>
      </c>
      <c r="Y1262">
        <v>0</v>
      </c>
      <c r="Z1262">
        <v>0</v>
      </c>
      <c r="AA1262">
        <v>0</v>
      </c>
      <c r="AB1262">
        <v>0</v>
      </c>
      <c r="AC1262">
        <v>0</v>
      </c>
      <c r="AD1262">
        <v>0</v>
      </c>
      <c r="AE1262">
        <v>0</v>
      </c>
      <c r="AF1262">
        <v>0</v>
      </c>
      <c r="AG1262">
        <v>0</v>
      </c>
      <c r="AH1262">
        <v>0</v>
      </c>
      <c r="AI1262">
        <v>0</v>
      </c>
      <c r="AJ1262">
        <v>0</v>
      </c>
      <c r="AK1262">
        <v>0</v>
      </c>
      <c r="AL1262">
        <v>0</v>
      </c>
      <c r="AM1262">
        <v>0</v>
      </c>
      <c r="AN1262">
        <v>0</v>
      </c>
      <c r="AO1262">
        <v>0</v>
      </c>
      <c r="AP1262">
        <v>0</v>
      </c>
      <c r="AQ1262">
        <v>25.52</v>
      </c>
      <c r="AR1262">
        <v>0</v>
      </c>
      <c r="AS1262">
        <v>0</v>
      </c>
      <c r="AT1262">
        <v>0</v>
      </c>
      <c r="AU1262">
        <v>0</v>
      </c>
      <c r="AV1262">
        <v>0</v>
      </c>
      <c r="AW1262">
        <v>0</v>
      </c>
      <c r="AX1262">
        <v>0</v>
      </c>
      <c r="AY1262">
        <v>0</v>
      </c>
      <c r="AZ1262">
        <v>0</v>
      </c>
      <c r="BA1262">
        <v>0</v>
      </c>
      <c r="BB1262">
        <v>0</v>
      </c>
      <c r="BC1262">
        <v>0</v>
      </c>
      <c r="BD1262">
        <v>0</v>
      </c>
      <c r="BE1262">
        <v>0</v>
      </c>
      <c r="BF1262">
        <v>0</v>
      </c>
      <c r="BG1262">
        <v>0</v>
      </c>
      <c r="BH1262">
        <v>1</v>
      </c>
      <c r="BI1262">
        <v>1</v>
      </c>
      <c r="BJ1262">
        <v>0.2</v>
      </c>
      <c r="BK1262">
        <v>1</v>
      </c>
      <c r="BL1262">
        <v>76.06</v>
      </c>
      <c r="BM1262">
        <v>11.41</v>
      </c>
      <c r="BN1262">
        <v>87.47</v>
      </c>
      <c r="BO1262">
        <v>87.47</v>
      </c>
      <c r="BQ1262" t="s">
        <v>1990</v>
      </c>
      <c r="BR1262" t="s">
        <v>82</v>
      </c>
      <c r="BS1262" s="3">
        <v>46002</v>
      </c>
      <c r="BT1262" s="4">
        <v>0.57361111111111107</v>
      </c>
      <c r="BU1262" t="s">
        <v>1991</v>
      </c>
      <c r="BV1262" t="s">
        <v>87</v>
      </c>
      <c r="BY1262">
        <v>1200</v>
      </c>
      <c r="CC1262" t="s">
        <v>190</v>
      </c>
      <c r="CD1262">
        <v>3212</v>
      </c>
      <c r="CE1262" t="s">
        <v>134</v>
      </c>
      <c r="CI1262">
        <v>2</v>
      </c>
      <c r="CJ1262">
        <v>2</v>
      </c>
      <c r="CK1262">
        <v>21</v>
      </c>
      <c r="CL1262" t="s">
        <v>87</v>
      </c>
    </row>
    <row r="1263" spans="1:90" x14ac:dyDescent="0.3">
      <c r="A1263" t="s">
        <v>72</v>
      </c>
      <c r="B1263" t="s">
        <v>73</v>
      </c>
      <c r="C1263" t="s">
        <v>74</v>
      </c>
      <c r="E1263" t="str">
        <f>"080069792881"</f>
        <v>080069792881</v>
      </c>
      <c r="F1263" s="3">
        <v>46000</v>
      </c>
      <c r="G1263">
        <v>202609</v>
      </c>
      <c r="H1263" t="s">
        <v>75</v>
      </c>
      <c r="I1263" t="s">
        <v>76</v>
      </c>
      <c r="J1263" t="s">
        <v>77</v>
      </c>
      <c r="K1263" t="s">
        <v>78</v>
      </c>
      <c r="L1263" t="s">
        <v>94</v>
      </c>
      <c r="M1263" t="s">
        <v>95</v>
      </c>
      <c r="N1263" t="s">
        <v>230</v>
      </c>
      <c r="O1263" t="s">
        <v>89</v>
      </c>
      <c r="P1263" t="str">
        <f>"4170072716                    "</f>
        <v xml:space="preserve">4170072716                    </v>
      </c>
      <c r="Q1263">
        <v>0</v>
      </c>
      <c r="R1263">
        <v>0</v>
      </c>
      <c r="S1263">
        <v>0</v>
      </c>
      <c r="T1263">
        <v>0</v>
      </c>
      <c r="U1263">
        <v>0</v>
      </c>
      <c r="V1263">
        <v>0</v>
      </c>
      <c r="W1263">
        <v>0</v>
      </c>
      <c r="X1263">
        <v>0</v>
      </c>
      <c r="Y1263">
        <v>0</v>
      </c>
      <c r="Z1263">
        <v>0</v>
      </c>
      <c r="AA1263">
        <v>0</v>
      </c>
      <c r="AB1263">
        <v>0</v>
      </c>
      <c r="AC1263">
        <v>0</v>
      </c>
      <c r="AD1263">
        <v>0</v>
      </c>
      <c r="AE1263">
        <v>0</v>
      </c>
      <c r="AF1263">
        <v>0</v>
      </c>
      <c r="AG1263">
        <v>0</v>
      </c>
      <c r="AH1263">
        <v>0</v>
      </c>
      <c r="AI1263">
        <v>0</v>
      </c>
      <c r="AJ1263">
        <v>0</v>
      </c>
      <c r="AK1263">
        <v>0</v>
      </c>
      <c r="AL1263">
        <v>0</v>
      </c>
      <c r="AM1263">
        <v>0</v>
      </c>
      <c r="AN1263">
        <v>0</v>
      </c>
      <c r="AO1263">
        <v>0</v>
      </c>
      <c r="AP1263">
        <v>0</v>
      </c>
      <c r="AQ1263">
        <v>25.52</v>
      </c>
      <c r="AR1263">
        <v>0</v>
      </c>
      <c r="AS1263">
        <v>0</v>
      </c>
      <c r="AT1263">
        <v>0</v>
      </c>
      <c r="AU1263">
        <v>0</v>
      </c>
      <c r="AV1263">
        <v>0</v>
      </c>
      <c r="AW1263">
        <v>0</v>
      </c>
      <c r="AX1263">
        <v>0</v>
      </c>
      <c r="AY1263">
        <v>0</v>
      </c>
      <c r="AZ1263">
        <v>0</v>
      </c>
      <c r="BA1263">
        <v>0</v>
      </c>
      <c r="BB1263">
        <v>0</v>
      </c>
      <c r="BC1263">
        <v>0</v>
      </c>
      <c r="BD1263">
        <v>0</v>
      </c>
      <c r="BE1263">
        <v>0</v>
      </c>
      <c r="BF1263">
        <v>0</v>
      </c>
      <c r="BG1263">
        <v>0</v>
      </c>
      <c r="BH1263">
        <v>1</v>
      </c>
      <c r="BI1263">
        <v>1</v>
      </c>
      <c r="BJ1263">
        <v>0.2</v>
      </c>
      <c r="BK1263">
        <v>1</v>
      </c>
      <c r="BL1263">
        <v>76.06</v>
      </c>
      <c r="BM1263">
        <v>11.41</v>
      </c>
      <c r="BN1263">
        <v>87.47</v>
      </c>
      <c r="BO1263">
        <v>87.47</v>
      </c>
      <c r="BQ1263" t="s">
        <v>231</v>
      </c>
      <c r="BR1263" t="s">
        <v>82</v>
      </c>
      <c r="BS1263" s="3">
        <v>46001</v>
      </c>
      <c r="BT1263" s="4">
        <v>0.43333333333333335</v>
      </c>
      <c r="BU1263" t="s">
        <v>1992</v>
      </c>
      <c r="BV1263" t="s">
        <v>84</v>
      </c>
      <c r="BY1263">
        <v>1200</v>
      </c>
      <c r="CA1263" t="s">
        <v>1993</v>
      </c>
      <c r="CC1263" t="s">
        <v>95</v>
      </c>
      <c r="CD1263">
        <v>3608</v>
      </c>
      <c r="CE1263" t="s">
        <v>134</v>
      </c>
      <c r="CF1263" s="3">
        <v>46001</v>
      </c>
      <c r="CI1263">
        <v>1</v>
      </c>
      <c r="CJ1263">
        <v>1</v>
      </c>
      <c r="CK1263">
        <v>21</v>
      </c>
      <c r="CL1263" t="s">
        <v>87</v>
      </c>
    </row>
    <row r="1264" spans="1:90" x14ac:dyDescent="0.3">
      <c r="A1264" t="s">
        <v>72</v>
      </c>
      <c r="B1264" t="s">
        <v>73</v>
      </c>
      <c r="C1264" t="s">
        <v>74</v>
      </c>
      <c r="E1264" t="str">
        <f>"080069793006"</f>
        <v>080069793006</v>
      </c>
      <c r="F1264" s="3">
        <v>46000</v>
      </c>
      <c r="G1264">
        <v>202609</v>
      </c>
      <c r="H1264" t="s">
        <v>75</v>
      </c>
      <c r="I1264" t="s">
        <v>76</v>
      </c>
      <c r="J1264" t="s">
        <v>77</v>
      </c>
      <c r="K1264" t="s">
        <v>78</v>
      </c>
      <c r="L1264" t="s">
        <v>141</v>
      </c>
      <c r="M1264" t="s">
        <v>142</v>
      </c>
      <c r="N1264" t="s">
        <v>143</v>
      </c>
      <c r="O1264" t="s">
        <v>80</v>
      </c>
      <c r="P1264" t="str">
        <f>"4170072727                    "</f>
        <v xml:space="preserve">4170072727                    </v>
      </c>
      <c r="Q1264">
        <v>0</v>
      </c>
      <c r="R1264">
        <v>0</v>
      </c>
      <c r="S1264">
        <v>0</v>
      </c>
      <c r="T1264">
        <v>0</v>
      </c>
      <c r="U1264">
        <v>0</v>
      </c>
      <c r="V1264">
        <v>0</v>
      </c>
      <c r="W1264">
        <v>0</v>
      </c>
      <c r="X1264">
        <v>0</v>
      </c>
      <c r="Y1264">
        <v>0</v>
      </c>
      <c r="Z1264">
        <v>0</v>
      </c>
      <c r="AA1264">
        <v>0</v>
      </c>
      <c r="AB1264">
        <v>0</v>
      </c>
      <c r="AC1264">
        <v>0</v>
      </c>
      <c r="AD1264">
        <v>0</v>
      </c>
      <c r="AE1264">
        <v>0</v>
      </c>
      <c r="AF1264">
        <v>0</v>
      </c>
      <c r="AG1264">
        <v>0</v>
      </c>
      <c r="AH1264">
        <v>0</v>
      </c>
      <c r="AI1264">
        <v>0</v>
      </c>
      <c r="AJ1264">
        <v>0</v>
      </c>
      <c r="AK1264">
        <v>0</v>
      </c>
      <c r="AL1264">
        <v>0</v>
      </c>
      <c r="AM1264">
        <v>0</v>
      </c>
      <c r="AN1264">
        <v>0</v>
      </c>
      <c r="AO1264">
        <v>0</v>
      </c>
      <c r="AP1264">
        <v>0</v>
      </c>
      <c r="AQ1264">
        <v>49.36</v>
      </c>
      <c r="AR1264">
        <v>0</v>
      </c>
      <c r="AS1264">
        <v>0</v>
      </c>
      <c r="AT1264">
        <v>0</v>
      </c>
      <c r="AU1264">
        <v>0</v>
      </c>
      <c r="AV1264">
        <v>0</v>
      </c>
      <c r="AW1264">
        <v>0</v>
      </c>
      <c r="AX1264">
        <v>0</v>
      </c>
      <c r="AY1264">
        <v>0</v>
      </c>
      <c r="AZ1264">
        <v>0</v>
      </c>
      <c r="BA1264">
        <v>0</v>
      </c>
      <c r="BB1264">
        <v>0</v>
      </c>
      <c r="BC1264">
        <v>0</v>
      </c>
      <c r="BD1264">
        <v>0</v>
      </c>
      <c r="BE1264">
        <v>0</v>
      </c>
      <c r="BF1264">
        <v>0</v>
      </c>
      <c r="BG1264">
        <v>0</v>
      </c>
      <c r="BH1264">
        <v>1</v>
      </c>
      <c r="BI1264">
        <v>3</v>
      </c>
      <c r="BJ1264">
        <v>1.3</v>
      </c>
      <c r="BK1264">
        <v>3</v>
      </c>
      <c r="BL1264">
        <v>153.19999999999999</v>
      </c>
      <c r="BM1264">
        <v>22.98</v>
      </c>
      <c r="BN1264">
        <v>176.18</v>
      </c>
      <c r="BO1264">
        <v>176.18</v>
      </c>
      <c r="BQ1264" t="s">
        <v>144</v>
      </c>
      <c r="BR1264" t="s">
        <v>82</v>
      </c>
      <c r="BS1264" s="3">
        <v>46002</v>
      </c>
      <c r="BT1264" s="4">
        <v>0.51180555555555551</v>
      </c>
      <c r="BU1264" t="s">
        <v>145</v>
      </c>
      <c r="BV1264" t="s">
        <v>84</v>
      </c>
      <c r="BY1264">
        <v>6555</v>
      </c>
      <c r="CA1264" t="s">
        <v>327</v>
      </c>
      <c r="CC1264" t="s">
        <v>142</v>
      </c>
      <c r="CD1264">
        <v>6001</v>
      </c>
      <c r="CE1264" t="s">
        <v>1418</v>
      </c>
      <c r="CF1264" s="3">
        <v>46002</v>
      </c>
      <c r="CI1264">
        <v>3</v>
      </c>
      <c r="CJ1264">
        <v>2</v>
      </c>
      <c r="CK1264">
        <v>41</v>
      </c>
      <c r="CL1264" t="s">
        <v>87</v>
      </c>
    </row>
    <row r="1265" spans="1:90" x14ac:dyDescent="0.3">
      <c r="A1265" t="s">
        <v>72</v>
      </c>
      <c r="B1265" t="s">
        <v>73</v>
      </c>
      <c r="C1265" t="s">
        <v>74</v>
      </c>
      <c r="E1265" t="str">
        <f>"080069793017"</f>
        <v>080069793017</v>
      </c>
      <c r="F1265" s="3">
        <v>46000</v>
      </c>
      <c r="G1265">
        <v>202609</v>
      </c>
      <c r="H1265" t="s">
        <v>75</v>
      </c>
      <c r="I1265" t="s">
        <v>76</v>
      </c>
      <c r="J1265" t="s">
        <v>77</v>
      </c>
      <c r="K1265" t="s">
        <v>78</v>
      </c>
      <c r="L1265" t="s">
        <v>75</v>
      </c>
      <c r="M1265" t="s">
        <v>76</v>
      </c>
      <c r="N1265" t="s">
        <v>79</v>
      </c>
      <c r="O1265" t="s">
        <v>80</v>
      </c>
      <c r="P1265" t="str">
        <f>"4170072556                    "</f>
        <v xml:space="preserve">4170072556                    </v>
      </c>
      <c r="Q1265">
        <v>0</v>
      </c>
      <c r="R1265">
        <v>0</v>
      </c>
      <c r="S1265">
        <v>0</v>
      </c>
      <c r="T1265">
        <v>0</v>
      </c>
      <c r="U1265">
        <v>0</v>
      </c>
      <c r="V1265">
        <v>0</v>
      </c>
      <c r="W1265">
        <v>0</v>
      </c>
      <c r="X1265">
        <v>0</v>
      </c>
      <c r="Y1265">
        <v>0</v>
      </c>
      <c r="Z1265">
        <v>0</v>
      </c>
      <c r="AA1265">
        <v>0</v>
      </c>
      <c r="AB1265">
        <v>0</v>
      </c>
      <c r="AC1265">
        <v>0</v>
      </c>
      <c r="AD1265">
        <v>0</v>
      </c>
      <c r="AE1265">
        <v>0</v>
      </c>
      <c r="AF1265">
        <v>0</v>
      </c>
      <c r="AG1265">
        <v>0</v>
      </c>
      <c r="AH1265">
        <v>0</v>
      </c>
      <c r="AI1265">
        <v>0</v>
      </c>
      <c r="AJ1265">
        <v>0</v>
      </c>
      <c r="AK1265">
        <v>0</v>
      </c>
      <c r="AL1265">
        <v>0</v>
      </c>
      <c r="AM1265">
        <v>0</v>
      </c>
      <c r="AN1265">
        <v>0</v>
      </c>
      <c r="AO1265">
        <v>0</v>
      </c>
      <c r="AP1265">
        <v>0</v>
      </c>
      <c r="AQ1265">
        <v>41.42</v>
      </c>
      <c r="AR1265">
        <v>0</v>
      </c>
      <c r="AS1265">
        <v>0</v>
      </c>
      <c r="AT1265">
        <v>0</v>
      </c>
      <c r="AU1265">
        <v>0</v>
      </c>
      <c r="AV1265">
        <v>0</v>
      </c>
      <c r="AW1265">
        <v>0</v>
      </c>
      <c r="AX1265">
        <v>0</v>
      </c>
      <c r="AY1265">
        <v>0</v>
      </c>
      <c r="AZ1265">
        <v>0</v>
      </c>
      <c r="BA1265">
        <v>0</v>
      </c>
      <c r="BB1265">
        <v>0</v>
      </c>
      <c r="BC1265">
        <v>0</v>
      </c>
      <c r="BD1265">
        <v>0</v>
      </c>
      <c r="BE1265">
        <v>0</v>
      </c>
      <c r="BF1265">
        <v>0</v>
      </c>
      <c r="BG1265">
        <v>0</v>
      </c>
      <c r="BH1265">
        <v>1</v>
      </c>
      <c r="BI1265">
        <v>8</v>
      </c>
      <c r="BJ1265">
        <v>17.7</v>
      </c>
      <c r="BK1265">
        <v>18</v>
      </c>
      <c r="BL1265">
        <v>129.54</v>
      </c>
      <c r="BM1265">
        <v>19.43</v>
      </c>
      <c r="BN1265">
        <v>148.97</v>
      </c>
      <c r="BO1265">
        <v>148.97</v>
      </c>
      <c r="BQ1265" t="s">
        <v>81</v>
      </c>
      <c r="BR1265" t="s">
        <v>82</v>
      </c>
      <c r="BS1265" s="3">
        <v>46001</v>
      </c>
      <c r="BT1265" s="4">
        <v>0.51944444444444449</v>
      </c>
      <c r="BU1265" t="s">
        <v>1994</v>
      </c>
      <c r="BV1265" t="s">
        <v>84</v>
      </c>
      <c r="BY1265">
        <v>88320</v>
      </c>
      <c r="CA1265" t="s">
        <v>863</v>
      </c>
      <c r="CC1265" t="s">
        <v>76</v>
      </c>
      <c r="CD1265">
        <v>1619</v>
      </c>
      <c r="CE1265" t="s">
        <v>86</v>
      </c>
      <c r="CF1265" s="3">
        <v>46001</v>
      </c>
      <c r="CI1265">
        <v>1</v>
      </c>
      <c r="CJ1265">
        <v>1</v>
      </c>
      <c r="CK1265">
        <v>42</v>
      </c>
      <c r="CL1265" t="s">
        <v>87</v>
      </c>
    </row>
    <row r="1266" spans="1:90" x14ac:dyDescent="0.3">
      <c r="A1266" t="s">
        <v>72</v>
      </c>
      <c r="B1266" t="s">
        <v>73</v>
      </c>
      <c r="C1266" t="s">
        <v>74</v>
      </c>
      <c r="E1266" t="str">
        <f>"080069793029"</f>
        <v>080069793029</v>
      </c>
      <c r="F1266" s="3">
        <v>46000</v>
      </c>
      <c r="G1266">
        <v>202609</v>
      </c>
      <c r="H1266" t="s">
        <v>75</v>
      </c>
      <c r="I1266" t="s">
        <v>76</v>
      </c>
      <c r="J1266" t="s">
        <v>77</v>
      </c>
      <c r="K1266" t="s">
        <v>78</v>
      </c>
      <c r="L1266" t="s">
        <v>502</v>
      </c>
      <c r="M1266" t="s">
        <v>503</v>
      </c>
      <c r="N1266" t="s">
        <v>678</v>
      </c>
      <c r="O1266" t="s">
        <v>89</v>
      </c>
      <c r="P1266" t="str">
        <f>"4170072697                    "</f>
        <v xml:space="preserve">4170072697                    </v>
      </c>
      <c r="Q1266">
        <v>0</v>
      </c>
      <c r="R1266">
        <v>0</v>
      </c>
      <c r="S1266">
        <v>0</v>
      </c>
      <c r="T1266">
        <v>0</v>
      </c>
      <c r="U1266">
        <v>0</v>
      </c>
      <c r="V1266">
        <v>0</v>
      </c>
      <c r="W1266">
        <v>0</v>
      </c>
      <c r="X1266">
        <v>0</v>
      </c>
      <c r="Y1266">
        <v>0</v>
      </c>
      <c r="Z1266">
        <v>0</v>
      </c>
      <c r="AA1266">
        <v>0</v>
      </c>
      <c r="AB1266">
        <v>0</v>
      </c>
      <c r="AC1266">
        <v>0</v>
      </c>
      <c r="AD1266">
        <v>0</v>
      </c>
      <c r="AE1266">
        <v>0</v>
      </c>
      <c r="AF1266">
        <v>0</v>
      </c>
      <c r="AG1266">
        <v>0</v>
      </c>
      <c r="AH1266">
        <v>0</v>
      </c>
      <c r="AI1266">
        <v>0</v>
      </c>
      <c r="AJ1266">
        <v>0</v>
      </c>
      <c r="AK1266">
        <v>0</v>
      </c>
      <c r="AL1266">
        <v>0</v>
      </c>
      <c r="AM1266">
        <v>0</v>
      </c>
      <c r="AN1266">
        <v>0</v>
      </c>
      <c r="AO1266">
        <v>0</v>
      </c>
      <c r="AP1266">
        <v>0</v>
      </c>
      <c r="AQ1266">
        <v>19.940000000000001</v>
      </c>
      <c r="AR1266">
        <v>0</v>
      </c>
      <c r="AS1266">
        <v>0</v>
      </c>
      <c r="AT1266">
        <v>0</v>
      </c>
      <c r="AU1266">
        <v>0</v>
      </c>
      <c r="AV1266">
        <v>0</v>
      </c>
      <c r="AW1266">
        <v>0</v>
      </c>
      <c r="AX1266">
        <v>0</v>
      </c>
      <c r="AY1266">
        <v>0</v>
      </c>
      <c r="AZ1266">
        <v>0</v>
      </c>
      <c r="BA1266">
        <v>0</v>
      </c>
      <c r="BB1266">
        <v>0</v>
      </c>
      <c r="BC1266">
        <v>0</v>
      </c>
      <c r="BD1266">
        <v>0</v>
      </c>
      <c r="BE1266">
        <v>0</v>
      </c>
      <c r="BF1266">
        <v>0</v>
      </c>
      <c r="BG1266">
        <v>0</v>
      </c>
      <c r="BH1266">
        <v>1</v>
      </c>
      <c r="BI1266">
        <v>1</v>
      </c>
      <c r="BJ1266">
        <v>0.2</v>
      </c>
      <c r="BK1266">
        <v>1</v>
      </c>
      <c r="BL1266">
        <v>59.42</v>
      </c>
      <c r="BM1266">
        <v>8.91</v>
      </c>
      <c r="BN1266">
        <v>68.33</v>
      </c>
      <c r="BO1266">
        <v>68.33</v>
      </c>
      <c r="BQ1266" t="s">
        <v>1222</v>
      </c>
      <c r="BR1266" t="s">
        <v>82</v>
      </c>
      <c r="BS1266" s="3">
        <v>46001</v>
      </c>
      <c r="BT1266" s="4">
        <v>0.45833333333333331</v>
      </c>
      <c r="BU1266" t="s">
        <v>1995</v>
      </c>
      <c r="BV1266" t="s">
        <v>84</v>
      </c>
      <c r="BY1266">
        <v>1200</v>
      </c>
      <c r="CA1266" t="s">
        <v>507</v>
      </c>
      <c r="CC1266" t="s">
        <v>503</v>
      </c>
      <c r="CD1266">
        <v>1559</v>
      </c>
      <c r="CE1266" t="s">
        <v>134</v>
      </c>
      <c r="CF1266" s="3">
        <v>46001</v>
      </c>
      <c r="CI1266">
        <v>1</v>
      </c>
      <c r="CJ1266">
        <v>1</v>
      </c>
      <c r="CK1266">
        <v>22</v>
      </c>
      <c r="CL1266" t="s">
        <v>87</v>
      </c>
    </row>
    <row r="1267" spans="1:90" x14ac:dyDescent="0.3">
      <c r="A1267" t="s">
        <v>72</v>
      </c>
      <c r="B1267" t="s">
        <v>73</v>
      </c>
      <c r="C1267" t="s">
        <v>74</v>
      </c>
      <c r="E1267" t="str">
        <f>"080069793044"</f>
        <v>080069793044</v>
      </c>
      <c r="F1267" s="3">
        <v>46000</v>
      </c>
      <c r="G1267">
        <v>202609</v>
      </c>
      <c r="H1267" t="s">
        <v>75</v>
      </c>
      <c r="I1267" t="s">
        <v>76</v>
      </c>
      <c r="J1267" t="s">
        <v>77</v>
      </c>
      <c r="K1267" t="s">
        <v>78</v>
      </c>
      <c r="L1267" t="s">
        <v>128</v>
      </c>
      <c r="M1267" t="s">
        <v>129</v>
      </c>
      <c r="N1267" t="s">
        <v>383</v>
      </c>
      <c r="O1267" t="s">
        <v>89</v>
      </c>
      <c r="P1267" t="str">
        <f>"4170072664                    "</f>
        <v xml:space="preserve">4170072664                    </v>
      </c>
      <c r="Q1267">
        <v>0</v>
      </c>
      <c r="R1267">
        <v>0</v>
      </c>
      <c r="S1267">
        <v>0</v>
      </c>
      <c r="T1267">
        <v>0</v>
      </c>
      <c r="U1267">
        <v>0</v>
      </c>
      <c r="V1267">
        <v>0</v>
      </c>
      <c r="W1267">
        <v>0</v>
      </c>
      <c r="X1267">
        <v>0</v>
      </c>
      <c r="Y1267">
        <v>0</v>
      </c>
      <c r="Z1267">
        <v>0</v>
      </c>
      <c r="AA1267">
        <v>0</v>
      </c>
      <c r="AB1267">
        <v>0</v>
      </c>
      <c r="AC1267">
        <v>0</v>
      </c>
      <c r="AD1267">
        <v>0</v>
      </c>
      <c r="AE1267">
        <v>0</v>
      </c>
      <c r="AF1267">
        <v>0</v>
      </c>
      <c r="AG1267">
        <v>0</v>
      </c>
      <c r="AH1267">
        <v>0</v>
      </c>
      <c r="AI1267">
        <v>0</v>
      </c>
      <c r="AJ1267">
        <v>0</v>
      </c>
      <c r="AK1267">
        <v>0</v>
      </c>
      <c r="AL1267">
        <v>0</v>
      </c>
      <c r="AM1267">
        <v>0</v>
      </c>
      <c r="AN1267">
        <v>0</v>
      </c>
      <c r="AO1267">
        <v>0</v>
      </c>
      <c r="AP1267">
        <v>0</v>
      </c>
      <c r="AQ1267">
        <v>25.52</v>
      </c>
      <c r="AR1267">
        <v>0</v>
      </c>
      <c r="AS1267">
        <v>0</v>
      </c>
      <c r="AT1267">
        <v>0</v>
      </c>
      <c r="AU1267">
        <v>0</v>
      </c>
      <c r="AV1267">
        <v>0</v>
      </c>
      <c r="AW1267">
        <v>0</v>
      </c>
      <c r="AX1267">
        <v>0</v>
      </c>
      <c r="AY1267">
        <v>0</v>
      </c>
      <c r="AZ1267">
        <v>0</v>
      </c>
      <c r="BA1267">
        <v>0</v>
      </c>
      <c r="BB1267">
        <v>0</v>
      </c>
      <c r="BC1267">
        <v>0</v>
      </c>
      <c r="BD1267">
        <v>0</v>
      </c>
      <c r="BE1267">
        <v>0</v>
      </c>
      <c r="BF1267">
        <v>0</v>
      </c>
      <c r="BG1267">
        <v>0</v>
      </c>
      <c r="BH1267">
        <v>1</v>
      </c>
      <c r="BI1267">
        <v>1</v>
      </c>
      <c r="BJ1267">
        <v>0.2</v>
      </c>
      <c r="BK1267">
        <v>1</v>
      </c>
      <c r="BL1267">
        <v>76.06</v>
      </c>
      <c r="BM1267">
        <v>11.41</v>
      </c>
      <c r="BN1267">
        <v>87.47</v>
      </c>
      <c r="BO1267">
        <v>87.47</v>
      </c>
      <c r="BQ1267" t="s">
        <v>384</v>
      </c>
      <c r="BR1267" t="s">
        <v>82</v>
      </c>
      <c r="BS1267" s="3">
        <v>46001</v>
      </c>
      <c r="BT1267" s="4">
        <v>0.52013888888888893</v>
      </c>
      <c r="BU1267" t="s">
        <v>1691</v>
      </c>
      <c r="BV1267" t="s">
        <v>87</v>
      </c>
      <c r="BW1267" t="s">
        <v>186</v>
      </c>
      <c r="BX1267" t="s">
        <v>187</v>
      </c>
      <c r="BY1267">
        <v>1200</v>
      </c>
      <c r="CA1267" t="s">
        <v>1692</v>
      </c>
      <c r="CC1267" t="s">
        <v>129</v>
      </c>
      <c r="CD1267">
        <v>5201</v>
      </c>
      <c r="CE1267" t="s">
        <v>134</v>
      </c>
      <c r="CF1267" s="3">
        <v>46002</v>
      </c>
      <c r="CI1267">
        <v>1</v>
      </c>
      <c r="CJ1267">
        <v>1</v>
      </c>
      <c r="CK1267">
        <v>21</v>
      </c>
      <c r="CL1267" t="s">
        <v>87</v>
      </c>
    </row>
    <row r="1268" spans="1:90" x14ac:dyDescent="0.3">
      <c r="A1268" t="s">
        <v>72</v>
      </c>
      <c r="B1268" t="s">
        <v>73</v>
      </c>
      <c r="C1268" t="s">
        <v>74</v>
      </c>
      <c r="E1268" t="str">
        <f>"080069793058"</f>
        <v>080069793058</v>
      </c>
      <c r="F1268" s="3">
        <v>46000</v>
      </c>
      <c r="G1268">
        <v>202609</v>
      </c>
      <c r="H1268" t="s">
        <v>75</v>
      </c>
      <c r="I1268" t="s">
        <v>76</v>
      </c>
      <c r="J1268" t="s">
        <v>77</v>
      </c>
      <c r="K1268" t="s">
        <v>78</v>
      </c>
      <c r="L1268" t="s">
        <v>189</v>
      </c>
      <c r="M1268" t="s">
        <v>190</v>
      </c>
      <c r="N1268" t="s">
        <v>1053</v>
      </c>
      <c r="O1268" t="s">
        <v>89</v>
      </c>
      <c r="P1268" t="str">
        <f>"4170072662                    "</f>
        <v xml:space="preserve">4170072662                    </v>
      </c>
      <c r="Q1268">
        <v>0</v>
      </c>
      <c r="R1268">
        <v>0</v>
      </c>
      <c r="S1268">
        <v>0</v>
      </c>
      <c r="T1268">
        <v>0</v>
      </c>
      <c r="U1268">
        <v>0</v>
      </c>
      <c r="V1268">
        <v>0</v>
      </c>
      <c r="W1268">
        <v>0</v>
      </c>
      <c r="X1268">
        <v>0</v>
      </c>
      <c r="Y1268">
        <v>0</v>
      </c>
      <c r="Z1268">
        <v>0</v>
      </c>
      <c r="AA1268">
        <v>0</v>
      </c>
      <c r="AB1268">
        <v>0</v>
      </c>
      <c r="AC1268">
        <v>0</v>
      </c>
      <c r="AD1268">
        <v>0</v>
      </c>
      <c r="AE1268">
        <v>0</v>
      </c>
      <c r="AF1268">
        <v>0</v>
      </c>
      <c r="AG1268">
        <v>0</v>
      </c>
      <c r="AH1268">
        <v>0</v>
      </c>
      <c r="AI1268">
        <v>0</v>
      </c>
      <c r="AJ1268">
        <v>0</v>
      </c>
      <c r="AK1268">
        <v>0</v>
      </c>
      <c r="AL1268">
        <v>0</v>
      </c>
      <c r="AM1268">
        <v>0</v>
      </c>
      <c r="AN1268">
        <v>0</v>
      </c>
      <c r="AO1268">
        <v>0</v>
      </c>
      <c r="AP1268">
        <v>0</v>
      </c>
      <c r="AQ1268">
        <v>89.3</v>
      </c>
      <c r="AR1268">
        <v>0</v>
      </c>
      <c r="AS1268">
        <v>0</v>
      </c>
      <c r="AT1268">
        <v>0</v>
      </c>
      <c r="AU1268">
        <v>0</v>
      </c>
      <c r="AV1268">
        <v>0</v>
      </c>
      <c r="AW1268">
        <v>0</v>
      </c>
      <c r="AX1268">
        <v>0</v>
      </c>
      <c r="AY1268">
        <v>0</v>
      </c>
      <c r="AZ1268">
        <v>0</v>
      </c>
      <c r="BA1268">
        <v>0</v>
      </c>
      <c r="BB1268">
        <v>0</v>
      </c>
      <c r="BC1268">
        <v>0</v>
      </c>
      <c r="BD1268">
        <v>0</v>
      </c>
      <c r="BE1268">
        <v>0</v>
      </c>
      <c r="BF1268">
        <v>0</v>
      </c>
      <c r="BG1268">
        <v>0</v>
      </c>
      <c r="BH1268">
        <v>1</v>
      </c>
      <c r="BI1268">
        <v>4</v>
      </c>
      <c r="BJ1268">
        <v>6.8</v>
      </c>
      <c r="BK1268">
        <v>7</v>
      </c>
      <c r="BL1268">
        <v>266.14</v>
      </c>
      <c r="BM1268">
        <v>39.92</v>
      </c>
      <c r="BN1268">
        <v>306.06</v>
      </c>
      <c r="BO1268">
        <v>306.06</v>
      </c>
      <c r="BQ1268" t="s">
        <v>1054</v>
      </c>
      <c r="BR1268" t="s">
        <v>82</v>
      </c>
      <c r="BS1268" s="3">
        <v>46002</v>
      </c>
      <c r="BT1268" s="4">
        <v>0.51458333333333328</v>
      </c>
      <c r="BU1268" t="s">
        <v>1996</v>
      </c>
      <c r="BV1268" t="s">
        <v>87</v>
      </c>
      <c r="BY1268">
        <v>33880</v>
      </c>
      <c r="CA1268" t="s">
        <v>794</v>
      </c>
      <c r="CC1268" t="s">
        <v>190</v>
      </c>
      <c r="CD1268">
        <v>3201</v>
      </c>
      <c r="CE1268" t="s">
        <v>86</v>
      </c>
      <c r="CI1268">
        <v>1</v>
      </c>
      <c r="CJ1268">
        <v>2</v>
      </c>
      <c r="CK1268">
        <v>21</v>
      </c>
      <c r="CL1268" t="s">
        <v>87</v>
      </c>
    </row>
    <row r="1269" spans="1:90" x14ac:dyDescent="0.3">
      <c r="A1269" t="s">
        <v>72</v>
      </c>
      <c r="B1269" t="s">
        <v>73</v>
      </c>
      <c r="C1269" t="s">
        <v>74</v>
      </c>
      <c r="E1269" t="str">
        <f>"080069793112"</f>
        <v>080069793112</v>
      </c>
      <c r="F1269" s="3">
        <v>46000</v>
      </c>
      <c r="G1269">
        <v>202609</v>
      </c>
      <c r="H1269" t="s">
        <v>75</v>
      </c>
      <c r="I1269" t="s">
        <v>76</v>
      </c>
      <c r="J1269" t="s">
        <v>77</v>
      </c>
      <c r="K1269" t="s">
        <v>78</v>
      </c>
      <c r="L1269" t="s">
        <v>189</v>
      </c>
      <c r="M1269" t="s">
        <v>190</v>
      </c>
      <c r="N1269" t="s">
        <v>791</v>
      </c>
      <c r="O1269" t="s">
        <v>80</v>
      </c>
      <c r="P1269" t="str">
        <f>"4170072659                    "</f>
        <v xml:space="preserve">4170072659                    </v>
      </c>
      <c r="Q1269">
        <v>0</v>
      </c>
      <c r="R1269">
        <v>0</v>
      </c>
      <c r="S1269">
        <v>0</v>
      </c>
      <c r="T1269">
        <v>0</v>
      </c>
      <c r="U1269">
        <v>0</v>
      </c>
      <c r="V1269">
        <v>0</v>
      </c>
      <c r="W1269">
        <v>0</v>
      </c>
      <c r="X1269">
        <v>0</v>
      </c>
      <c r="Y1269">
        <v>0</v>
      </c>
      <c r="Z1269">
        <v>0</v>
      </c>
      <c r="AA1269">
        <v>0</v>
      </c>
      <c r="AB1269">
        <v>0</v>
      </c>
      <c r="AC1269">
        <v>0</v>
      </c>
      <c r="AD1269">
        <v>0</v>
      </c>
      <c r="AE1269">
        <v>0</v>
      </c>
      <c r="AF1269">
        <v>0</v>
      </c>
      <c r="AG1269">
        <v>0</v>
      </c>
      <c r="AH1269">
        <v>0</v>
      </c>
      <c r="AI1269">
        <v>0</v>
      </c>
      <c r="AJ1269">
        <v>0</v>
      </c>
      <c r="AK1269">
        <v>0</v>
      </c>
      <c r="AL1269">
        <v>0</v>
      </c>
      <c r="AM1269">
        <v>0</v>
      </c>
      <c r="AN1269">
        <v>0</v>
      </c>
      <c r="AO1269">
        <v>0</v>
      </c>
      <c r="AP1269">
        <v>0</v>
      </c>
      <c r="AQ1269">
        <v>82</v>
      </c>
      <c r="AR1269">
        <v>0</v>
      </c>
      <c r="AS1269">
        <v>0</v>
      </c>
      <c r="AT1269">
        <v>0</v>
      </c>
      <c r="AU1269">
        <v>0</v>
      </c>
      <c r="AV1269">
        <v>0</v>
      </c>
      <c r="AW1269">
        <v>0</v>
      </c>
      <c r="AX1269">
        <v>0</v>
      </c>
      <c r="AY1269">
        <v>0</v>
      </c>
      <c r="AZ1269">
        <v>0</v>
      </c>
      <c r="BA1269">
        <v>0</v>
      </c>
      <c r="BB1269">
        <v>0</v>
      </c>
      <c r="BC1269">
        <v>0</v>
      </c>
      <c r="BD1269">
        <v>0</v>
      </c>
      <c r="BE1269">
        <v>0</v>
      </c>
      <c r="BF1269">
        <v>0</v>
      </c>
      <c r="BG1269">
        <v>0</v>
      </c>
      <c r="BH1269">
        <v>2</v>
      </c>
      <c r="BI1269">
        <v>31</v>
      </c>
      <c r="BJ1269">
        <v>23.1</v>
      </c>
      <c r="BK1269">
        <v>31</v>
      </c>
      <c r="BL1269">
        <v>250.48</v>
      </c>
      <c r="BM1269">
        <v>37.57</v>
      </c>
      <c r="BN1269">
        <v>288.05</v>
      </c>
      <c r="BO1269">
        <v>288.05</v>
      </c>
      <c r="BQ1269" t="s">
        <v>792</v>
      </c>
      <c r="BR1269" t="s">
        <v>82</v>
      </c>
      <c r="BS1269" s="3">
        <v>46002</v>
      </c>
      <c r="BT1269" s="4">
        <v>0.44930555555555557</v>
      </c>
      <c r="BU1269" t="s">
        <v>1997</v>
      </c>
      <c r="BV1269" t="s">
        <v>84</v>
      </c>
      <c r="BY1269">
        <v>115520</v>
      </c>
      <c r="CA1269" t="s">
        <v>794</v>
      </c>
      <c r="CC1269" t="s">
        <v>190</v>
      </c>
      <c r="CD1269">
        <v>3201</v>
      </c>
      <c r="CE1269" t="s">
        <v>546</v>
      </c>
      <c r="CI1269">
        <v>2</v>
      </c>
      <c r="CJ1269">
        <v>2</v>
      </c>
      <c r="CK1269">
        <v>41</v>
      </c>
      <c r="CL1269" t="s">
        <v>87</v>
      </c>
    </row>
    <row r="1270" spans="1:90" x14ac:dyDescent="0.3">
      <c r="A1270" t="s">
        <v>72</v>
      </c>
      <c r="B1270" t="s">
        <v>73</v>
      </c>
      <c r="C1270" t="s">
        <v>74</v>
      </c>
      <c r="E1270" t="str">
        <f>"080069793255"</f>
        <v>080069793255</v>
      </c>
      <c r="F1270" s="3">
        <v>46000</v>
      </c>
      <c r="G1270">
        <v>202609</v>
      </c>
      <c r="H1270" t="s">
        <v>75</v>
      </c>
      <c r="I1270" t="s">
        <v>76</v>
      </c>
      <c r="J1270" t="s">
        <v>77</v>
      </c>
      <c r="K1270" t="s">
        <v>78</v>
      </c>
      <c r="L1270" t="s">
        <v>94</v>
      </c>
      <c r="M1270" t="s">
        <v>95</v>
      </c>
      <c r="N1270" t="s">
        <v>230</v>
      </c>
      <c r="O1270" t="s">
        <v>89</v>
      </c>
      <c r="P1270" t="str">
        <f>"4170072684                    "</f>
        <v xml:space="preserve">4170072684                    </v>
      </c>
      <c r="Q1270">
        <v>0</v>
      </c>
      <c r="R1270">
        <v>0</v>
      </c>
      <c r="S1270">
        <v>0</v>
      </c>
      <c r="T1270">
        <v>0</v>
      </c>
      <c r="U1270">
        <v>0</v>
      </c>
      <c r="V1270">
        <v>0</v>
      </c>
      <c r="W1270">
        <v>0</v>
      </c>
      <c r="X1270">
        <v>0</v>
      </c>
      <c r="Y1270">
        <v>0</v>
      </c>
      <c r="Z1270">
        <v>0</v>
      </c>
      <c r="AA1270">
        <v>0</v>
      </c>
      <c r="AB1270">
        <v>0</v>
      </c>
      <c r="AC1270">
        <v>0</v>
      </c>
      <c r="AD1270">
        <v>0</v>
      </c>
      <c r="AE1270">
        <v>0</v>
      </c>
      <c r="AF1270">
        <v>0</v>
      </c>
      <c r="AG1270">
        <v>0</v>
      </c>
      <c r="AH1270">
        <v>0</v>
      </c>
      <c r="AI1270">
        <v>0</v>
      </c>
      <c r="AJ1270">
        <v>0</v>
      </c>
      <c r="AK1270">
        <v>0</v>
      </c>
      <c r="AL1270">
        <v>0</v>
      </c>
      <c r="AM1270">
        <v>0</v>
      </c>
      <c r="AN1270">
        <v>0</v>
      </c>
      <c r="AO1270">
        <v>0</v>
      </c>
      <c r="AP1270">
        <v>0</v>
      </c>
      <c r="AQ1270">
        <v>51.04</v>
      </c>
      <c r="AR1270">
        <v>0</v>
      </c>
      <c r="AS1270">
        <v>0</v>
      </c>
      <c r="AT1270">
        <v>0</v>
      </c>
      <c r="AU1270">
        <v>0</v>
      </c>
      <c r="AV1270">
        <v>0</v>
      </c>
      <c r="AW1270">
        <v>0</v>
      </c>
      <c r="AX1270">
        <v>0</v>
      </c>
      <c r="AY1270">
        <v>0</v>
      </c>
      <c r="AZ1270">
        <v>0</v>
      </c>
      <c r="BA1270">
        <v>0</v>
      </c>
      <c r="BB1270">
        <v>0</v>
      </c>
      <c r="BC1270">
        <v>0</v>
      </c>
      <c r="BD1270">
        <v>0</v>
      </c>
      <c r="BE1270">
        <v>0</v>
      </c>
      <c r="BF1270">
        <v>0</v>
      </c>
      <c r="BG1270">
        <v>0</v>
      </c>
      <c r="BH1270">
        <v>1</v>
      </c>
      <c r="BI1270">
        <v>1</v>
      </c>
      <c r="BJ1270">
        <v>3.6</v>
      </c>
      <c r="BK1270">
        <v>4</v>
      </c>
      <c r="BL1270">
        <v>152.1</v>
      </c>
      <c r="BM1270">
        <v>22.82</v>
      </c>
      <c r="BN1270">
        <v>174.92</v>
      </c>
      <c r="BO1270">
        <v>174.92</v>
      </c>
      <c r="BQ1270" t="s">
        <v>231</v>
      </c>
      <c r="BR1270" t="s">
        <v>82</v>
      </c>
      <c r="BS1270" s="3">
        <v>46001</v>
      </c>
      <c r="BT1270" s="4">
        <v>0.36666666666666664</v>
      </c>
      <c r="BU1270" t="s">
        <v>1992</v>
      </c>
      <c r="BV1270" t="s">
        <v>84</v>
      </c>
      <c r="BY1270">
        <v>18088</v>
      </c>
      <c r="CA1270" t="s">
        <v>1993</v>
      </c>
      <c r="CC1270" t="s">
        <v>95</v>
      </c>
      <c r="CD1270">
        <v>3608</v>
      </c>
      <c r="CE1270" t="s">
        <v>93</v>
      </c>
      <c r="CF1270" s="3">
        <v>46001</v>
      </c>
      <c r="CI1270">
        <v>1</v>
      </c>
      <c r="CJ1270">
        <v>1</v>
      </c>
      <c r="CK1270">
        <v>21</v>
      </c>
      <c r="CL1270" t="s">
        <v>87</v>
      </c>
    </row>
    <row r="1271" spans="1:90" x14ac:dyDescent="0.3">
      <c r="A1271" t="s">
        <v>72</v>
      </c>
      <c r="B1271" t="s">
        <v>73</v>
      </c>
      <c r="C1271" t="s">
        <v>74</v>
      </c>
      <c r="E1271" t="str">
        <f>"080069793272"</f>
        <v>080069793272</v>
      </c>
      <c r="F1271" s="3">
        <v>46000</v>
      </c>
      <c r="G1271">
        <v>202609</v>
      </c>
      <c r="H1271" t="s">
        <v>75</v>
      </c>
      <c r="I1271" t="s">
        <v>76</v>
      </c>
      <c r="J1271" t="s">
        <v>77</v>
      </c>
      <c r="K1271" t="s">
        <v>78</v>
      </c>
      <c r="L1271" t="s">
        <v>128</v>
      </c>
      <c r="M1271" t="s">
        <v>129</v>
      </c>
      <c r="N1271" t="s">
        <v>828</v>
      </c>
      <c r="O1271" t="s">
        <v>89</v>
      </c>
      <c r="P1271" t="str">
        <f>"4170072686                    "</f>
        <v xml:space="preserve">4170072686                    </v>
      </c>
      <c r="Q1271">
        <v>0</v>
      </c>
      <c r="R1271">
        <v>0</v>
      </c>
      <c r="S1271">
        <v>0</v>
      </c>
      <c r="T1271">
        <v>0</v>
      </c>
      <c r="U1271">
        <v>0</v>
      </c>
      <c r="V1271">
        <v>0</v>
      </c>
      <c r="W1271">
        <v>0</v>
      </c>
      <c r="X1271">
        <v>0</v>
      </c>
      <c r="Y1271">
        <v>0</v>
      </c>
      <c r="Z1271">
        <v>0</v>
      </c>
      <c r="AA1271">
        <v>0</v>
      </c>
      <c r="AB1271">
        <v>0</v>
      </c>
      <c r="AC1271">
        <v>0</v>
      </c>
      <c r="AD1271">
        <v>0</v>
      </c>
      <c r="AE1271">
        <v>0</v>
      </c>
      <c r="AF1271">
        <v>0</v>
      </c>
      <c r="AG1271">
        <v>0</v>
      </c>
      <c r="AH1271">
        <v>0</v>
      </c>
      <c r="AI1271">
        <v>0</v>
      </c>
      <c r="AJ1271">
        <v>0</v>
      </c>
      <c r="AK1271">
        <v>0</v>
      </c>
      <c r="AL1271">
        <v>0</v>
      </c>
      <c r="AM1271">
        <v>0</v>
      </c>
      <c r="AN1271">
        <v>0</v>
      </c>
      <c r="AO1271">
        <v>0</v>
      </c>
      <c r="AP1271">
        <v>0</v>
      </c>
      <c r="AQ1271">
        <v>25.52</v>
      </c>
      <c r="AR1271">
        <v>0</v>
      </c>
      <c r="AS1271">
        <v>0</v>
      </c>
      <c r="AT1271">
        <v>0</v>
      </c>
      <c r="AU1271">
        <v>0</v>
      </c>
      <c r="AV1271">
        <v>0</v>
      </c>
      <c r="AW1271">
        <v>0</v>
      </c>
      <c r="AX1271">
        <v>0</v>
      </c>
      <c r="AY1271">
        <v>0</v>
      </c>
      <c r="AZ1271">
        <v>0</v>
      </c>
      <c r="BA1271">
        <v>0</v>
      </c>
      <c r="BB1271">
        <v>0</v>
      </c>
      <c r="BC1271">
        <v>0</v>
      </c>
      <c r="BD1271">
        <v>0</v>
      </c>
      <c r="BE1271">
        <v>0</v>
      </c>
      <c r="BF1271">
        <v>0</v>
      </c>
      <c r="BG1271">
        <v>0</v>
      </c>
      <c r="BH1271">
        <v>1</v>
      </c>
      <c r="BI1271">
        <v>1</v>
      </c>
      <c r="BJ1271">
        <v>0.2</v>
      </c>
      <c r="BK1271">
        <v>1</v>
      </c>
      <c r="BL1271">
        <v>76.06</v>
      </c>
      <c r="BM1271">
        <v>11.41</v>
      </c>
      <c r="BN1271">
        <v>87.47</v>
      </c>
      <c r="BO1271">
        <v>87.47</v>
      </c>
      <c r="BQ1271" t="s">
        <v>829</v>
      </c>
      <c r="BR1271" t="s">
        <v>82</v>
      </c>
      <c r="BS1271" s="3">
        <v>46001</v>
      </c>
      <c r="BT1271" s="4">
        <v>0.42916666666666664</v>
      </c>
      <c r="BU1271" t="s">
        <v>1998</v>
      </c>
      <c r="BV1271" t="s">
        <v>84</v>
      </c>
      <c r="BY1271">
        <v>1200</v>
      </c>
      <c r="CA1271" t="s">
        <v>133</v>
      </c>
      <c r="CC1271" t="s">
        <v>129</v>
      </c>
      <c r="CD1271">
        <v>5201</v>
      </c>
      <c r="CE1271" t="s">
        <v>134</v>
      </c>
      <c r="CF1271" s="3">
        <v>46002</v>
      </c>
      <c r="CI1271">
        <v>1</v>
      </c>
      <c r="CJ1271">
        <v>1</v>
      </c>
      <c r="CK1271">
        <v>21</v>
      </c>
      <c r="CL1271" t="s">
        <v>87</v>
      </c>
    </row>
    <row r="1272" spans="1:90" x14ac:dyDescent="0.3">
      <c r="A1272" t="s">
        <v>72</v>
      </c>
      <c r="B1272" t="s">
        <v>73</v>
      </c>
      <c r="C1272" t="s">
        <v>74</v>
      </c>
      <c r="E1272" t="str">
        <f>"080069793287"</f>
        <v>080069793287</v>
      </c>
      <c r="F1272" s="3">
        <v>46000</v>
      </c>
      <c r="G1272">
        <v>202609</v>
      </c>
      <c r="H1272" t="s">
        <v>75</v>
      </c>
      <c r="I1272" t="s">
        <v>76</v>
      </c>
      <c r="J1272" t="s">
        <v>77</v>
      </c>
      <c r="K1272" t="s">
        <v>78</v>
      </c>
      <c r="L1272" t="s">
        <v>458</v>
      </c>
      <c r="M1272" t="s">
        <v>459</v>
      </c>
      <c r="N1272" t="s">
        <v>460</v>
      </c>
      <c r="O1272" t="s">
        <v>89</v>
      </c>
      <c r="P1272" t="str">
        <f>"4170072679                    "</f>
        <v xml:space="preserve">4170072679                    </v>
      </c>
      <c r="Q1272">
        <v>0</v>
      </c>
      <c r="R1272">
        <v>0</v>
      </c>
      <c r="S1272">
        <v>0</v>
      </c>
      <c r="T1272">
        <v>0</v>
      </c>
      <c r="U1272">
        <v>0</v>
      </c>
      <c r="V1272">
        <v>0</v>
      </c>
      <c r="W1272">
        <v>0</v>
      </c>
      <c r="X1272">
        <v>0</v>
      </c>
      <c r="Y1272">
        <v>0</v>
      </c>
      <c r="Z1272">
        <v>0</v>
      </c>
      <c r="AA1272">
        <v>0</v>
      </c>
      <c r="AB1272">
        <v>0</v>
      </c>
      <c r="AC1272">
        <v>0</v>
      </c>
      <c r="AD1272">
        <v>0</v>
      </c>
      <c r="AE1272">
        <v>0</v>
      </c>
      <c r="AF1272">
        <v>0</v>
      </c>
      <c r="AG1272">
        <v>0</v>
      </c>
      <c r="AH1272">
        <v>0</v>
      </c>
      <c r="AI1272">
        <v>0</v>
      </c>
      <c r="AJ1272">
        <v>0</v>
      </c>
      <c r="AK1272">
        <v>0</v>
      </c>
      <c r="AL1272">
        <v>0</v>
      </c>
      <c r="AM1272">
        <v>0</v>
      </c>
      <c r="AN1272">
        <v>0</v>
      </c>
      <c r="AO1272">
        <v>0</v>
      </c>
      <c r="AP1272">
        <v>0</v>
      </c>
      <c r="AQ1272">
        <v>82.95</v>
      </c>
      <c r="AR1272">
        <v>0</v>
      </c>
      <c r="AS1272">
        <v>0</v>
      </c>
      <c r="AT1272">
        <v>0</v>
      </c>
      <c r="AU1272">
        <v>0</v>
      </c>
      <c r="AV1272">
        <v>0</v>
      </c>
      <c r="AW1272">
        <v>0</v>
      </c>
      <c r="AX1272">
        <v>0</v>
      </c>
      <c r="AY1272">
        <v>0</v>
      </c>
      <c r="AZ1272">
        <v>0</v>
      </c>
      <c r="BA1272">
        <v>0</v>
      </c>
      <c r="BB1272">
        <v>0</v>
      </c>
      <c r="BC1272">
        <v>0</v>
      </c>
      <c r="BD1272">
        <v>0</v>
      </c>
      <c r="BE1272">
        <v>0</v>
      </c>
      <c r="BF1272">
        <v>0</v>
      </c>
      <c r="BG1272">
        <v>0</v>
      </c>
      <c r="BH1272">
        <v>1</v>
      </c>
      <c r="BI1272">
        <v>1</v>
      </c>
      <c r="BJ1272">
        <v>3.1</v>
      </c>
      <c r="BK1272">
        <v>3.5</v>
      </c>
      <c r="BL1272">
        <v>247.21</v>
      </c>
      <c r="BM1272">
        <v>37.08</v>
      </c>
      <c r="BN1272">
        <v>284.29000000000002</v>
      </c>
      <c r="BO1272">
        <v>284.29000000000002</v>
      </c>
      <c r="BQ1272" t="s">
        <v>461</v>
      </c>
      <c r="BR1272" t="s">
        <v>82</v>
      </c>
      <c r="BS1272" s="3">
        <v>46001</v>
      </c>
      <c r="BT1272" s="4">
        <v>0.50694444444444442</v>
      </c>
      <c r="BU1272" t="s">
        <v>462</v>
      </c>
      <c r="BV1272" t="s">
        <v>84</v>
      </c>
      <c r="BY1272">
        <v>15360</v>
      </c>
      <c r="CA1272" t="s">
        <v>463</v>
      </c>
      <c r="CC1272" t="s">
        <v>459</v>
      </c>
      <c r="CD1272">
        <v>7130</v>
      </c>
      <c r="CE1272" t="s">
        <v>86</v>
      </c>
      <c r="CI1272">
        <v>1</v>
      </c>
      <c r="CJ1272">
        <v>1</v>
      </c>
      <c r="CK1272">
        <v>23</v>
      </c>
      <c r="CL1272" t="s">
        <v>87</v>
      </c>
    </row>
    <row r="1273" spans="1:90" x14ac:dyDescent="0.3">
      <c r="A1273" t="s">
        <v>72</v>
      </c>
      <c r="B1273" t="s">
        <v>73</v>
      </c>
      <c r="C1273" t="s">
        <v>74</v>
      </c>
      <c r="E1273" t="str">
        <f>"080069793292"</f>
        <v>080069793292</v>
      </c>
      <c r="F1273" s="3">
        <v>46000</v>
      </c>
      <c r="G1273">
        <v>202609</v>
      </c>
      <c r="H1273" t="s">
        <v>75</v>
      </c>
      <c r="I1273" t="s">
        <v>76</v>
      </c>
      <c r="J1273" t="s">
        <v>77</v>
      </c>
      <c r="K1273" t="s">
        <v>78</v>
      </c>
      <c r="L1273" t="s">
        <v>302</v>
      </c>
      <c r="M1273" t="s">
        <v>303</v>
      </c>
      <c r="N1273" t="s">
        <v>769</v>
      </c>
      <c r="O1273" t="s">
        <v>89</v>
      </c>
      <c r="P1273" t="str">
        <f>"4170072734                    "</f>
        <v xml:space="preserve">4170072734                    </v>
      </c>
      <c r="Q1273">
        <v>0</v>
      </c>
      <c r="R1273">
        <v>0</v>
      </c>
      <c r="S1273">
        <v>0</v>
      </c>
      <c r="T1273">
        <v>0</v>
      </c>
      <c r="U1273">
        <v>0</v>
      </c>
      <c r="V1273">
        <v>0</v>
      </c>
      <c r="W1273">
        <v>0</v>
      </c>
      <c r="X1273">
        <v>0</v>
      </c>
      <c r="Y1273">
        <v>0</v>
      </c>
      <c r="Z1273">
        <v>0</v>
      </c>
      <c r="AA1273">
        <v>0</v>
      </c>
      <c r="AB1273">
        <v>0</v>
      </c>
      <c r="AC1273">
        <v>0</v>
      </c>
      <c r="AD1273">
        <v>0</v>
      </c>
      <c r="AE1273">
        <v>0</v>
      </c>
      <c r="AF1273">
        <v>0</v>
      </c>
      <c r="AG1273">
        <v>0</v>
      </c>
      <c r="AH1273">
        <v>0</v>
      </c>
      <c r="AI1273">
        <v>0</v>
      </c>
      <c r="AJ1273">
        <v>0</v>
      </c>
      <c r="AK1273">
        <v>0</v>
      </c>
      <c r="AL1273">
        <v>0</v>
      </c>
      <c r="AM1273">
        <v>0</v>
      </c>
      <c r="AN1273">
        <v>0</v>
      </c>
      <c r="AO1273">
        <v>0</v>
      </c>
      <c r="AP1273">
        <v>0</v>
      </c>
      <c r="AQ1273">
        <v>25.52</v>
      </c>
      <c r="AR1273">
        <v>0</v>
      </c>
      <c r="AS1273">
        <v>0</v>
      </c>
      <c r="AT1273">
        <v>0</v>
      </c>
      <c r="AU1273">
        <v>0</v>
      </c>
      <c r="AV1273">
        <v>0</v>
      </c>
      <c r="AW1273">
        <v>0</v>
      </c>
      <c r="AX1273">
        <v>0</v>
      </c>
      <c r="AY1273">
        <v>0</v>
      </c>
      <c r="AZ1273">
        <v>0</v>
      </c>
      <c r="BA1273">
        <v>0</v>
      </c>
      <c r="BB1273">
        <v>0</v>
      </c>
      <c r="BC1273">
        <v>0</v>
      </c>
      <c r="BD1273">
        <v>0</v>
      </c>
      <c r="BE1273">
        <v>0</v>
      </c>
      <c r="BF1273">
        <v>0</v>
      </c>
      <c r="BG1273">
        <v>0</v>
      </c>
      <c r="BH1273">
        <v>1</v>
      </c>
      <c r="BI1273">
        <v>1</v>
      </c>
      <c r="BJ1273">
        <v>0.2</v>
      </c>
      <c r="BK1273">
        <v>1</v>
      </c>
      <c r="BL1273">
        <v>76.06</v>
      </c>
      <c r="BM1273">
        <v>11.41</v>
      </c>
      <c r="BN1273">
        <v>87.47</v>
      </c>
      <c r="BO1273">
        <v>87.47</v>
      </c>
      <c r="BQ1273" t="s">
        <v>770</v>
      </c>
      <c r="BR1273" t="s">
        <v>82</v>
      </c>
      <c r="BS1273" s="3">
        <v>46001</v>
      </c>
      <c r="BT1273" s="4">
        <v>0.39305555555555555</v>
      </c>
      <c r="BU1273" t="s">
        <v>1402</v>
      </c>
      <c r="BV1273" t="s">
        <v>84</v>
      </c>
      <c r="BY1273">
        <v>1200</v>
      </c>
      <c r="CA1273">
        <v>9103185460089</v>
      </c>
      <c r="CC1273" t="s">
        <v>303</v>
      </c>
      <c r="CD1273" s="5" t="s">
        <v>350</v>
      </c>
      <c r="CE1273" t="s">
        <v>134</v>
      </c>
      <c r="CF1273" s="3">
        <v>46001</v>
      </c>
      <c r="CI1273">
        <v>1</v>
      </c>
      <c r="CJ1273">
        <v>1</v>
      </c>
      <c r="CK1273">
        <v>21</v>
      </c>
      <c r="CL1273" t="s">
        <v>87</v>
      </c>
    </row>
    <row r="1274" spans="1:90" x14ac:dyDescent="0.3">
      <c r="A1274" t="s">
        <v>72</v>
      </c>
      <c r="B1274" t="s">
        <v>73</v>
      </c>
      <c r="C1274" t="s">
        <v>74</v>
      </c>
      <c r="E1274" t="str">
        <f>"080069793306"</f>
        <v>080069793306</v>
      </c>
      <c r="F1274" s="3">
        <v>46000</v>
      </c>
      <c r="G1274">
        <v>202609</v>
      </c>
      <c r="H1274" t="s">
        <v>75</v>
      </c>
      <c r="I1274" t="s">
        <v>76</v>
      </c>
      <c r="J1274" t="s">
        <v>77</v>
      </c>
      <c r="K1274" t="s">
        <v>78</v>
      </c>
      <c r="L1274" t="s">
        <v>100</v>
      </c>
      <c r="M1274" t="s">
        <v>101</v>
      </c>
      <c r="N1274" t="s">
        <v>1999</v>
      </c>
      <c r="O1274" t="s">
        <v>89</v>
      </c>
      <c r="P1274" t="str">
        <f>"4170072707                    "</f>
        <v xml:space="preserve">4170072707                    </v>
      </c>
      <c r="Q1274">
        <v>0</v>
      </c>
      <c r="R1274">
        <v>0</v>
      </c>
      <c r="S1274">
        <v>0</v>
      </c>
      <c r="T1274">
        <v>0</v>
      </c>
      <c r="U1274">
        <v>0</v>
      </c>
      <c r="V1274">
        <v>0</v>
      </c>
      <c r="W1274">
        <v>0</v>
      </c>
      <c r="X1274">
        <v>0</v>
      </c>
      <c r="Y1274">
        <v>0</v>
      </c>
      <c r="Z1274">
        <v>0</v>
      </c>
      <c r="AA1274">
        <v>0</v>
      </c>
      <c r="AB1274">
        <v>0</v>
      </c>
      <c r="AC1274">
        <v>0</v>
      </c>
      <c r="AD1274">
        <v>0</v>
      </c>
      <c r="AE1274">
        <v>0</v>
      </c>
      <c r="AF1274">
        <v>0</v>
      </c>
      <c r="AG1274">
        <v>0</v>
      </c>
      <c r="AH1274">
        <v>0</v>
      </c>
      <c r="AI1274">
        <v>0</v>
      </c>
      <c r="AJ1274">
        <v>0</v>
      </c>
      <c r="AK1274">
        <v>0</v>
      </c>
      <c r="AL1274">
        <v>0</v>
      </c>
      <c r="AM1274">
        <v>0</v>
      </c>
      <c r="AN1274">
        <v>0</v>
      </c>
      <c r="AO1274">
        <v>0</v>
      </c>
      <c r="AP1274">
        <v>0</v>
      </c>
      <c r="AQ1274">
        <v>25.52</v>
      </c>
      <c r="AR1274">
        <v>0</v>
      </c>
      <c r="AS1274">
        <v>0</v>
      </c>
      <c r="AT1274">
        <v>0</v>
      </c>
      <c r="AU1274">
        <v>0</v>
      </c>
      <c r="AV1274">
        <v>0</v>
      </c>
      <c r="AW1274">
        <v>0</v>
      </c>
      <c r="AX1274">
        <v>0</v>
      </c>
      <c r="AY1274">
        <v>0</v>
      </c>
      <c r="AZ1274">
        <v>0</v>
      </c>
      <c r="BA1274">
        <v>0</v>
      </c>
      <c r="BB1274">
        <v>0</v>
      </c>
      <c r="BC1274">
        <v>0</v>
      </c>
      <c r="BD1274">
        <v>0</v>
      </c>
      <c r="BE1274">
        <v>0</v>
      </c>
      <c r="BF1274">
        <v>0</v>
      </c>
      <c r="BG1274">
        <v>0</v>
      </c>
      <c r="BH1274">
        <v>1</v>
      </c>
      <c r="BI1274">
        <v>1</v>
      </c>
      <c r="BJ1274">
        <v>0.2</v>
      </c>
      <c r="BK1274">
        <v>1</v>
      </c>
      <c r="BL1274">
        <v>76.06</v>
      </c>
      <c r="BM1274">
        <v>11.41</v>
      </c>
      <c r="BN1274">
        <v>87.47</v>
      </c>
      <c r="BO1274">
        <v>87.47</v>
      </c>
      <c r="BQ1274" t="s">
        <v>2000</v>
      </c>
      <c r="BR1274" t="s">
        <v>82</v>
      </c>
      <c r="BS1274" s="3">
        <v>46001</v>
      </c>
      <c r="BT1274" s="4">
        <v>0.41875000000000001</v>
      </c>
      <c r="BU1274" t="s">
        <v>2001</v>
      </c>
      <c r="BV1274" t="s">
        <v>84</v>
      </c>
      <c r="BY1274">
        <v>1200</v>
      </c>
      <c r="CA1274" t="s">
        <v>1557</v>
      </c>
      <c r="CC1274" t="s">
        <v>101</v>
      </c>
      <c r="CD1274">
        <v>4000</v>
      </c>
      <c r="CE1274" t="s">
        <v>134</v>
      </c>
      <c r="CF1274" s="3">
        <v>46001</v>
      </c>
      <c r="CI1274">
        <v>1</v>
      </c>
      <c r="CJ1274">
        <v>1</v>
      </c>
      <c r="CK1274">
        <v>21</v>
      </c>
      <c r="CL1274" t="s">
        <v>87</v>
      </c>
    </row>
    <row r="1275" spans="1:90" x14ac:dyDescent="0.3">
      <c r="A1275" t="s">
        <v>72</v>
      </c>
      <c r="B1275" t="s">
        <v>73</v>
      </c>
      <c r="C1275" t="s">
        <v>74</v>
      </c>
      <c r="E1275" t="str">
        <f>"080069793325"</f>
        <v>080069793325</v>
      </c>
      <c r="F1275" s="3">
        <v>46000</v>
      </c>
      <c r="G1275">
        <v>202609</v>
      </c>
      <c r="H1275" t="s">
        <v>75</v>
      </c>
      <c r="I1275" t="s">
        <v>76</v>
      </c>
      <c r="J1275" t="s">
        <v>77</v>
      </c>
      <c r="K1275" t="s">
        <v>78</v>
      </c>
      <c r="L1275" t="s">
        <v>156</v>
      </c>
      <c r="M1275" t="s">
        <v>157</v>
      </c>
      <c r="N1275" t="s">
        <v>2002</v>
      </c>
      <c r="O1275" t="s">
        <v>89</v>
      </c>
      <c r="P1275" t="str">
        <f>"4170072677                    "</f>
        <v xml:space="preserve">4170072677                    </v>
      </c>
      <c r="Q1275">
        <v>0</v>
      </c>
      <c r="R1275">
        <v>0</v>
      </c>
      <c r="S1275">
        <v>0</v>
      </c>
      <c r="T1275">
        <v>0</v>
      </c>
      <c r="U1275">
        <v>0</v>
      </c>
      <c r="V1275">
        <v>0</v>
      </c>
      <c r="W1275">
        <v>0</v>
      </c>
      <c r="X1275">
        <v>0</v>
      </c>
      <c r="Y1275">
        <v>0</v>
      </c>
      <c r="Z1275">
        <v>0</v>
      </c>
      <c r="AA1275">
        <v>0</v>
      </c>
      <c r="AB1275">
        <v>0</v>
      </c>
      <c r="AC1275">
        <v>0</v>
      </c>
      <c r="AD1275">
        <v>0</v>
      </c>
      <c r="AE1275">
        <v>0</v>
      </c>
      <c r="AF1275">
        <v>0</v>
      </c>
      <c r="AG1275">
        <v>0</v>
      </c>
      <c r="AH1275">
        <v>0</v>
      </c>
      <c r="AI1275">
        <v>0</v>
      </c>
      <c r="AJ1275">
        <v>0</v>
      </c>
      <c r="AK1275">
        <v>0</v>
      </c>
      <c r="AL1275">
        <v>0</v>
      </c>
      <c r="AM1275">
        <v>0</v>
      </c>
      <c r="AN1275">
        <v>0</v>
      </c>
      <c r="AO1275">
        <v>0</v>
      </c>
      <c r="AP1275">
        <v>0</v>
      </c>
      <c r="AQ1275">
        <v>25.52</v>
      </c>
      <c r="AR1275">
        <v>0</v>
      </c>
      <c r="AS1275">
        <v>0</v>
      </c>
      <c r="AT1275">
        <v>0</v>
      </c>
      <c r="AU1275">
        <v>0</v>
      </c>
      <c r="AV1275">
        <v>0</v>
      </c>
      <c r="AW1275">
        <v>0</v>
      </c>
      <c r="AX1275">
        <v>0</v>
      </c>
      <c r="AY1275">
        <v>0</v>
      </c>
      <c r="AZ1275">
        <v>0</v>
      </c>
      <c r="BA1275">
        <v>0</v>
      </c>
      <c r="BB1275">
        <v>0</v>
      </c>
      <c r="BC1275">
        <v>0</v>
      </c>
      <c r="BD1275">
        <v>0</v>
      </c>
      <c r="BE1275">
        <v>0</v>
      </c>
      <c r="BF1275">
        <v>0</v>
      </c>
      <c r="BG1275">
        <v>0</v>
      </c>
      <c r="BH1275">
        <v>1</v>
      </c>
      <c r="BI1275">
        <v>1</v>
      </c>
      <c r="BJ1275">
        <v>1.3</v>
      </c>
      <c r="BK1275">
        <v>1.5</v>
      </c>
      <c r="BL1275">
        <v>76.06</v>
      </c>
      <c r="BM1275">
        <v>11.41</v>
      </c>
      <c r="BN1275">
        <v>87.47</v>
      </c>
      <c r="BO1275">
        <v>87.47</v>
      </c>
      <c r="BQ1275" t="s">
        <v>2003</v>
      </c>
      <c r="BR1275" t="s">
        <v>82</v>
      </c>
      <c r="BS1275" s="3">
        <v>46001</v>
      </c>
      <c r="BT1275" s="4">
        <v>0.41666666666666669</v>
      </c>
      <c r="BU1275" t="s">
        <v>2004</v>
      </c>
      <c r="BV1275" t="s">
        <v>84</v>
      </c>
      <c r="BY1275">
        <v>6612</v>
      </c>
      <c r="CC1275" t="s">
        <v>157</v>
      </c>
      <c r="CD1275">
        <v>7441</v>
      </c>
      <c r="CE1275" t="s">
        <v>86</v>
      </c>
      <c r="CI1275">
        <v>1</v>
      </c>
      <c r="CJ1275">
        <v>1</v>
      </c>
      <c r="CK1275">
        <v>21</v>
      </c>
      <c r="CL1275" t="s">
        <v>87</v>
      </c>
    </row>
    <row r="1276" spans="1:90" x14ac:dyDescent="0.3">
      <c r="A1276" t="s">
        <v>72</v>
      </c>
      <c r="B1276" t="s">
        <v>73</v>
      </c>
      <c r="C1276" t="s">
        <v>74</v>
      </c>
      <c r="E1276" t="str">
        <f>"080069793339"</f>
        <v>080069793339</v>
      </c>
      <c r="F1276" s="3">
        <v>46000</v>
      </c>
      <c r="G1276">
        <v>202609</v>
      </c>
      <c r="H1276" t="s">
        <v>75</v>
      </c>
      <c r="I1276" t="s">
        <v>76</v>
      </c>
      <c r="J1276" t="s">
        <v>77</v>
      </c>
      <c r="K1276" t="s">
        <v>78</v>
      </c>
      <c r="L1276" t="s">
        <v>148</v>
      </c>
      <c r="M1276" t="s">
        <v>149</v>
      </c>
      <c r="N1276" t="s">
        <v>150</v>
      </c>
      <c r="O1276" t="s">
        <v>89</v>
      </c>
      <c r="P1276" t="str">
        <f>"4170072705                    "</f>
        <v xml:space="preserve">4170072705                    </v>
      </c>
      <c r="Q1276">
        <v>0</v>
      </c>
      <c r="R1276">
        <v>0</v>
      </c>
      <c r="S1276">
        <v>0</v>
      </c>
      <c r="T1276">
        <v>0</v>
      </c>
      <c r="U1276">
        <v>0</v>
      </c>
      <c r="V1276">
        <v>0</v>
      </c>
      <c r="W1276">
        <v>0</v>
      </c>
      <c r="X1276">
        <v>0</v>
      </c>
      <c r="Y1276">
        <v>0</v>
      </c>
      <c r="Z1276">
        <v>0</v>
      </c>
      <c r="AA1276">
        <v>0</v>
      </c>
      <c r="AB1276">
        <v>0</v>
      </c>
      <c r="AC1276">
        <v>0</v>
      </c>
      <c r="AD1276">
        <v>0</v>
      </c>
      <c r="AE1276">
        <v>0</v>
      </c>
      <c r="AF1276">
        <v>0</v>
      </c>
      <c r="AG1276">
        <v>0</v>
      </c>
      <c r="AH1276">
        <v>0</v>
      </c>
      <c r="AI1276">
        <v>0</v>
      </c>
      <c r="AJ1276">
        <v>0</v>
      </c>
      <c r="AK1276">
        <v>0</v>
      </c>
      <c r="AL1276">
        <v>0</v>
      </c>
      <c r="AM1276">
        <v>0</v>
      </c>
      <c r="AN1276">
        <v>0</v>
      </c>
      <c r="AO1276">
        <v>0</v>
      </c>
      <c r="AP1276">
        <v>0</v>
      </c>
      <c r="AQ1276">
        <v>49.45</v>
      </c>
      <c r="AR1276">
        <v>0</v>
      </c>
      <c r="AS1276">
        <v>0</v>
      </c>
      <c r="AT1276">
        <v>0</v>
      </c>
      <c r="AU1276">
        <v>0</v>
      </c>
      <c r="AV1276">
        <v>0</v>
      </c>
      <c r="AW1276">
        <v>0</v>
      </c>
      <c r="AX1276">
        <v>0</v>
      </c>
      <c r="AY1276">
        <v>0</v>
      </c>
      <c r="AZ1276">
        <v>0</v>
      </c>
      <c r="BA1276">
        <v>0</v>
      </c>
      <c r="BB1276">
        <v>0</v>
      </c>
      <c r="BC1276">
        <v>0</v>
      </c>
      <c r="BD1276">
        <v>0</v>
      </c>
      <c r="BE1276">
        <v>0</v>
      </c>
      <c r="BF1276">
        <v>0</v>
      </c>
      <c r="BG1276">
        <v>0</v>
      </c>
      <c r="BH1276">
        <v>1</v>
      </c>
      <c r="BI1276">
        <v>1</v>
      </c>
      <c r="BJ1276">
        <v>0.2</v>
      </c>
      <c r="BK1276">
        <v>1</v>
      </c>
      <c r="BL1276">
        <v>147.38</v>
      </c>
      <c r="BM1276">
        <v>22.11</v>
      </c>
      <c r="BN1276">
        <v>169.49</v>
      </c>
      <c r="BO1276">
        <v>169.49</v>
      </c>
      <c r="BQ1276" t="s">
        <v>1550</v>
      </c>
      <c r="BR1276" t="s">
        <v>82</v>
      </c>
      <c r="BS1276" s="3">
        <v>46001</v>
      </c>
      <c r="BT1276" s="4">
        <v>0.65138888888888891</v>
      </c>
      <c r="BU1276" t="s">
        <v>152</v>
      </c>
      <c r="BV1276" t="s">
        <v>84</v>
      </c>
      <c r="BY1276">
        <v>1200</v>
      </c>
      <c r="CA1276" t="s">
        <v>155</v>
      </c>
      <c r="CC1276" t="s">
        <v>149</v>
      </c>
      <c r="CD1276">
        <v>7299</v>
      </c>
      <c r="CE1276" t="s">
        <v>134</v>
      </c>
      <c r="CF1276" s="3">
        <v>46002</v>
      </c>
      <c r="CI1276">
        <v>1</v>
      </c>
      <c r="CJ1276">
        <v>1</v>
      </c>
      <c r="CK1276">
        <v>23</v>
      </c>
      <c r="CL1276" t="s">
        <v>87</v>
      </c>
    </row>
    <row r="1277" spans="1:90" x14ac:dyDescent="0.3">
      <c r="A1277" t="s">
        <v>72</v>
      </c>
      <c r="B1277" t="s">
        <v>73</v>
      </c>
      <c r="C1277" t="s">
        <v>74</v>
      </c>
      <c r="E1277" t="str">
        <f>"080069793398"</f>
        <v>080069793398</v>
      </c>
      <c r="F1277" s="3">
        <v>46000</v>
      </c>
      <c r="G1277">
        <v>202609</v>
      </c>
      <c r="H1277" t="s">
        <v>75</v>
      </c>
      <c r="I1277" t="s">
        <v>76</v>
      </c>
      <c r="J1277" t="s">
        <v>77</v>
      </c>
      <c r="K1277" t="s">
        <v>78</v>
      </c>
      <c r="L1277" t="s">
        <v>128</v>
      </c>
      <c r="M1277" t="s">
        <v>129</v>
      </c>
      <c r="N1277" t="s">
        <v>183</v>
      </c>
      <c r="O1277" t="s">
        <v>80</v>
      </c>
      <c r="P1277" t="str">
        <f>"4170072712                    "</f>
        <v xml:space="preserve">4170072712                    </v>
      </c>
      <c r="Q1277">
        <v>0</v>
      </c>
      <c r="R1277">
        <v>0</v>
      </c>
      <c r="S1277">
        <v>0</v>
      </c>
      <c r="T1277">
        <v>0</v>
      </c>
      <c r="U1277">
        <v>0</v>
      </c>
      <c r="V1277">
        <v>0</v>
      </c>
      <c r="W1277">
        <v>0</v>
      </c>
      <c r="X1277">
        <v>0</v>
      </c>
      <c r="Y1277">
        <v>0</v>
      </c>
      <c r="Z1277">
        <v>0</v>
      </c>
      <c r="AA1277">
        <v>0</v>
      </c>
      <c r="AB1277">
        <v>0</v>
      </c>
      <c r="AC1277">
        <v>0</v>
      </c>
      <c r="AD1277">
        <v>0</v>
      </c>
      <c r="AE1277">
        <v>0</v>
      </c>
      <c r="AF1277">
        <v>0</v>
      </c>
      <c r="AG1277">
        <v>0</v>
      </c>
      <c r="AH1277">
        <v>0</v>
      </c>
      <c r="AI1277">
        <v>0</v>
      </c>
      <c r="AJ1277">
        <v>0</v>
      </c>
      <c r="AK1277">
        <v>0</v>
      </c>
      <c r="AL1277">
        <v>0</v>
      </c>
      <c r="AM1277">
        <v>0</v>
      </c>
      <c r="AN1277">
        <v>0</v>
      </c>
      <c r="AO1277">
        <v>0</v>
      </c>
      <c r="AP1277">
        <v>0</v>
      </c>
      <c r="AQ1277">
        <v>55.48</v>
      </c>
      <c r="AR1277">
        <v>0</v>
      </c>
      <c r="AS1277">
        <v>0</v>
      </c>
      <c r="AT1277">
        <v>0</v>
      </c>
      <c r="AU1277">
        <v>0</v>
      </c>
      <c r="AV1277">
        <v>0</v>
      </c>
      <c r="AW1277">
        <v>0</v>
      </c>
      <c r="AX1277">
        <v>0</v>
      </c>
      <c r="AY1277">
        <v>0</v>
      </c>
      <c r="AZ1277">
        <v>0</v>
      </c>
      <c r="BA1277">
        <v>0</v>
      </c>
      <c r="BB1277">
        <v>0</v>
      </c>
      <c r="BC1277">
        <v>0</v>
      </c>
      <c r="BD1277">
        <v>0</v>
      </c>
      <c r="BE1277">
        <v>0</v>
      </c>
      <c r="BF1277">
        <v>0</v>
      </c>
      <c r="BG1277">
        <v>0</v>
      </c>
      <c r="BH1277">
        <v>1</v>
      </c>
      <c r="BI1277">
        <v>11</v>
      </c>
      <c r="BJ1277">
        <v>17.7</v>
      </c>
      <c r="BK1277">
        <v>18</v>
      </c>
      <c r="BL1277">
        <v>171.44</v>
      </c>
      <c r="BM1277">
        <v>25.72</v>
      </c>
      <c r="BN1277">
        <v>197.16</v>
      </c>
      <c r="BO1277">
        <v>197.16</v>
      </c>
      <c r="BQ1277" t="s">
        <v>184</v>
      </c>
      <c r="BR1277" t="s">
        <v>82</v>
      </c>
      <c r="BS1277" s="3">
        <v>46002</v>
      </c>
      <c r="BT1277" s="4">
        <v>0.57291666666666663</v>
      </c>
      <c r="BU1277" t="s">
        <v>913</v>
      </c>
      <c r="BV1277" t="s">
        <v>84</v>
      </c>
      <c r="BY1277">
        <v>88320</v>
      </c>
      <c r="CA1277" t="s">
        <v>188</v>
      </c>
      <c r="CC1277" t="s">
        <v>129</v>
      </c>
      <c r="CD1277">
        <v>5201</v>
      </c>
      <c r="CE1277" t="s">
        <v>86</v>
      </c>
      <c r="CI1277">
        <v>3</v>
      </c>
      <c r="CJ1277">
        <v>2</v>
      </c>
      <c r="CK1277">
        <v>41</v>
      </c>
      <c r="CL1277" t="s">
        <v>87</v>
      </c>
    </row>
    <row r="1278" spans="1:90" x14ac:dyDescent="0.3">
      <c r="A1278" t="s">
        <v>72</v>
      </c>
      <c r="B1278" t="s">
        <v>73</v>
      </c>
      <c r="C1278" t="s">
        <v>74</v>
      </c>
      <c r="E1278" t="str">
        <f>"080069793637"</f>
        <v>080069793637</v>
      </c>
      <c r="F1278" s="3">
        <v>46000</v>
      </c>
      <c r="G1278">
        <v>202609</v>
      </c>
      <c r="H1278" t="s">
        <v>75</v>
      </c>
      <c r="I1278" t="s">
        <v>76</v>
      </c>
      <c r="J1278" t="s">
        <v>77</v>
      </c>
      <c r="K1278" t="s">
        <v>78</v>
      </c>
      <c r="L1278" t="s">
        <v>156</v>
      </c>
      <c r="M1278" t="s">
        <v>157</v>
      </c>
      <c r="N1278" t="s">
        <v>261</v>
      </c>
      <c r="O1278" t="s">
        <v>89</v>
      </c>
      <c r="P1278" t="str">
        <f>"4170072701                    "</f>
        <v xml:space="preserve">4170072701                    </v>
      </c>
      <c r="Q1278">
        <v>0</v>
      </c>
      <c r="R1278">
        <v>0</v>
      </c>
      <c r="S1278">
        <v>0</v>
      </c>
      <c r="T1278">
        <v>0</v>
      </c>
      <c r="U1278">
        <v>0</v>
      </c>
      <c r="V1278">
        <v>0</v>
      </c>
      <c r="W1278">
        <v>0</v>
      </c>
      <c r="X1278">
        <v>0</v>
      </c>
      <c r="Y1278">
        <v>0</v>
      </c>
      <c r="Z1278">
        <v>0</v>
      </c>
      <c r="AA1278">
        <v>0</v>
      </c>
      <c r="AB1278">
        <v>0</v>
      </c>
      <c r="AC1278">
        <v>0</v>
      </c>
      <c r="AD1278">
        <v>0</v>
      </c>
      <c r="AE1278">
        <v>0</v>
      </c>
      <c r="AF1278">
        <v>0</v>
      </c>
      <c r="AG1278">
        <v>0</v>
      </c>
      <c r="AH1278">
        <v>0</v>
      </c>
      <c r="AI1278">
        <v>0</v>
      </c>
      <c r="AJ1278">
        <v>0</v>
      </c>
      <c r="AK1278">
        <v>0</v>
      </c>
      <c r="AL1278">
        <v>0</v>
      </c>
      <c r="AM1278">
        <v>0</v>
      </c>
      <c r="AN1278">
        <v>0</v>
      </c>
      <c r="AO1278">
        <v>0</v>
      </c>
      <c r="AP1278">
        <v>0</v>
      </c>
      <c r="AQ1278">
        <v>51.04</v>
      </c>
      <c r="AR1278">
        <v>0</v>
      </c>
      <c r="AS1278">
        <v>0</v>
      </c>
      <c r="AT1278">
        <v>0</v>
      </c>
      <c r="AU1278">
        <v>0</v>
      </c>
      <c r="AV1278">
        <v>0</v>
      </c>
      <c r="AW1278">
        <v>0</v>
      </c>
      <c r="AX1278">
        <v>0</v>
      </c>
      <c r="AY1278">
        <v>0</v>
      </c>
      <c r="AZ1278">
        <v>0</v>
      </c>
      <c r="BA1278">
        <v>0</v>
      </c>
      <c r="BB1278">
        <v>0</v>
      </c>
      <c r="BC1278">
        <v>0</v>
      </c>
      <c r="BD1278">
        <v>0</v>
      </c>
      <c r="BE1278">
        <v>0</v>
      </c>
      <c r="BF1278">
        <v>0</v>
      </c>
      <c r="BG1278">
        <v>0</v>
      </c>
      <c r="BH1278">
        <v>1</v>
      </c>
      <c r="BI1278">
        <v>4</v>
      </c>
      <c r="BJ1278">
        <v>2.9</v>
      </c>
      <c r="BK1278">
        <v>4</v>
      </c>
      <c r="BL1278">
        <v>152.1</v>
      </c>
      <c r="BM1278">
        <v>22.82</v>
      </c>
      <c r="BN1278">
        <v>174.92</v>
      </c>
      <c r="BO1278">
        <v>174.92</v>
      </c>
      <c r="BQ1278" t="s">
        <v>262</v>
      </c>
      <c r="BR1278" t="s">
        <v>82</v>
      </c>
      <c r="BS1278" s="3">
        <v>46001</v>
      </c>
      <c r="BT1278" s="4">
        <v>0.39583333333333331</v>
      </c>
      <c r="BU1278" t="s">
        <v>1346</v>
      </c>
      <c r="BV1278" t="s">
        <v>84</v>
      </c>
      <c r="BY1278">
        <v>14336</v>
      </c>
      <c r="CA1278" t="s">
        <v>264</v>
      </c>
      <c r="CC1278" t="s">
        <v>157</v>
      </c>
      <c r="CD1278">
        <v>7441</v>
      </c>
      <c r="CE1278" t="s">
        <v>93</v>
      </c>
      <c r="CF1278" s="3">
        <v>46002</v>
      </c>
      <c r="CI1278">
        <v>1</v>
      </c>
      <c r="CJ1278">
        <v>1</v>
      </c>
      <c r="CK1278">
        <v>21</v>
      </c>
      <c r="CL1278" t="s">
        <v>87</v>
      </c>
    </row>
    <row r="1279" spans="1:90" x14ac:dyDescent="0.3">
      <c r="A1279" t="s">
        <v>72</v>
      </c>
      <c r="B1279" t="s">
        <v>73</v>
      </c>
      <c r="C1279" t="s">
        <v>74</v>
      </c>
      <c r="E1279" t="str">
        <f>"080069793670"</f>
        <v>080069793670</v>
      </c>
      <c r="F1279" s="3">
        <v>46000</v>
      </c>
      <c r="G1279">
        <v>202609</v>
      </c>
      <c r="H1279" t="s">
        <v>75</v>
      </c>
      <c r="I1279" t="s">
        <v>76</v>
      </c>
      <c r="J1279" t="s">
        <v>77</v>
      </c>
      <c r="K1279" t="s">
        <v>78</v>
      </c>
      <c r="L1279" t="s">
        <v>141</v>
      </c>
      <c r="M1279" t="s">
        <v>142</v>
      </c>
      <c r="N1279" t="s">
        <v>214</v>
      </c>
      <c r="O1279" t="s">
        <v>89</v>
      </c>
      <c r="P1279" t="str">
        <f>"4170072685                    "</f>
        <v xml:space="preserve">4170072685                    </v>
      </c>
      <c r="Q1279">
        <v>0</v>
      </c>
      <c r="R1279">
        <v>0</v>
      </c>
      <c r="S1279">
        <v>0</v>
      </c>
      <c r="T1279">
        <v>0</v>
      </c>
      <c r="U1279">
        <v>0</v>
      </c>
      <c r="V1279">
        <v>0</v>
      </c>
      <c r="W1279">
        <v>0</v>
      </c>
      <c r="X1279">
        <v>0</v>
      </c>
      <c r="Y1279">
        <v>0</v>
      </c>
      <c r="Z1279">
        <v>0</v>
      </c>
      <c r="AA1279">
        <v>0</v>
      </c>
      <c r="AB1279">
        <v>0</v>
      </c>
      <c r="AC1279">
        <v>0</v>
      </c>
      <c r="AD1279">
        <v>0</v>
      </c>
      <c r="AE1279">
        <v>0</v>
      </c>
      <c r="AF1279">
        <v>0</v>
      </c>
      <c r="AG1279">
        <v>0</v>
      </c>
      <c r="AH1279">
        <v>0</v>
      </c>
      <c r="AI1279">
        <v>0</v>
      </c>
      <c r="AJ1279">
        <v>0</v>
      </c>
      <c r="AK1279">
        <v>0</v>
      </c>
      <c r="AL1279">
        <v>0</v>
      </c>
      <c r="AM1279">
        <v>0</v>
      </c>
      <c r="AN1279">
        <v>0</v>
      </c>
      <c r="AO1279">
        <v>0</v>
      </c>
      <c r="AP1279">
        <v>0</v>
      </c>
      <c r="AQ1279">
        <v>25.52</v>
      </c>
      <c r="AR1279">
        <v>0</v>
      </c>
      <c r="AS1279">
        <v>0</v>
      </c>
      <c r="AT1279">
        <v>0</v>
      </c>
      <c r="AU1279">
        <v>0</v>
      </c>
      <c r="AV1279">
        <v>0</v>
      </c>
      <c r="AW1279">
        <v>0</v>
      </c>
      <c r="AX1279">
        <v>0</v>
      </c>
      <c r="AY1279">
        <v>0</v>
      </c>
      <c r="AZ1279">
        <v>0</v>
      </c>
      <c r="BA1279">
        <v>0</v>
      </c>
      <c r="BB1279">
        <v>0</v>
      </c>
      <c r="BC1279">
        <v>0</v>
      </c>
      <c r="BD1279">
        <v>0</v>
      </c>
      <c r="BE1279">
        <v>0</v>
      </c>
      <c r="BF1279">
        <v>0</v>
      </c>
      <c r="BG1279">
        <v>0</v>
      </c>
      <c r="BH1279">
        <v>1</v>
      </c>
      <c r="BI1279">
        <v>1</v>
      </c>
      <c r="BJ1279">
        <v>0.2</v>
      </c>
      <c r="BK1279">
        <v>1</v>
      </c>
      <c r="BL1279">
        <v>76.06</v>
      </c>
      <c r="BM1279">
        <v>11.41</v>
      </c>
      <c r="BN1279">
        <v>87.47</v>
      </c>
      <c r="BO1279">
        <v>87.47</v>
      </c>
      <c r="BQ1279" t="s">
        <v>215</v>
      </c>
      <c r="BR1279" t="s">
        <v>82</v>
      </c>
      <c r="BS1279" s="3">
        <v>46001</v>
      </c>
      <c r="BT1279" s="4">
        <v>0.3840277777777778</v>
      </c>
      <c r="BU1279" t="s">
        <v>1660</v>
      </c>
      <c r="BV1279" t="s">
        <v>84</v>
      </c>
      <c r="BY1279">
        <v>1200</v>
      </c>
      <c r="CA1279" t="s">
        <v>489</v>
      </c>
      <c r="CC1279" t="s">
        <v>142</v>
      </c>
      <c r="CD1279">
        <v>6001</v>
      </c>
      <c r="CE1279" t="s">
        <v>134</v>
      </c>
      <c r="CF1279" s="3">
        <v>46001</v>
      </c>
      <c r="CI1279">
        <v>1</v>
      </c>
      <c r="CJ1279">
        <v>1</v>
      </c>
      <c r="CK1279">
        <v>21</v>
      </c>
      <c r="CL1279" t="s">
        <v>87</v>
      </c>
    </row>
    <row r="1280" spans="1:90" x14ac:dyDescent="0.3">
      <c r="A1280" t="s">
        <v>72</v>
      </c>
      <c r="B1280" t="s">
        <v>73</v>
      </c>
      <c r="C1280" t="s">
        <v>74</v>
      </c>
      <c r="E1280" t="str">
        <f>"080069793682"</f>
        <v>080069793682</v>
      </c>
      <c r="F1280" s="3">
        <v>46000</v>
      </c>
      <c r="G1280">
        <v>202609</v>
      </c>
      <c r="H1280" t="s">
        <v>75</v>
      </c>
      <c r="I1280" t="s">
        <v>76</v>
      </c>
      <c r="J1280" t="s">
        <v>77</v>
      </c>
      <c r="K1280" t="s">
        <v>78</v>
      </c>
      <c r="L1280" t="s">
        <v>75</v>
      </c>
      <c r="M1280" t="s">
        <v>76</v>
      </c>
      <c r="N1280" t="s">
        <v>79</v>
      </c>
      <c r="O1280" t="s">
        <v>340</v>
      </c>
      <c r="P1280" t="str">
        <f>"334170072718                  "</f>
        <v xml:space="preserve">334170072718                  </v>
      </c>
      <c r="Q1280">
        <v>0</v>
      </c>
      <c r="R1280">
        <v>0</v>
      </c>
      <c r="S1280">
        <v>0</v>
      </c>
      <c r="T1280">
        <v>0</v>
      </c>
      <c r="U1280">
        <v>0</v>
      </c>
      <c r="V1280">
        <v>0</v>
      </c>
      <c r="W1280">
        <v>0</v>
      </c>
      <c r="X1280">
        <v>0</v>
      </c>
      <c r="Y1280">
        <v>0</v>
      </c>
      <c r="Z1280">
        <v>0</v>
      </c>
      <c r="AA1280">
        <v>0</v>
      </c>
      <c r="AB1280">
        <v>0</v>
      </c>
      <c r="AC1280">
        <v>0</v>
      </c>
      <c r="AD1280">
        <v>0</v>
      </c>
      <c r="AE1280">
        <v>0</v>
      </c>
      <c r="AF1280">
        <v>0</v>
      </c>
      <c r="AG1280">
        <v>0</v>
      </c>
      <c r="AH1280">
        <v>0</v>
      </c>
      <c r="AI1280">
        <v>0</v>
      </c>
      <c r="AJ1280">
        <v>0</v>
      </c>
      <c r="AK1280">
        <v>0</v>
      </c>
      <c r="AL1280">
        <v>0</v>
      </c>
      <c r="AM1280">
        <v>0</v>
      </c>
      <c r="AN1280">
        <v>0</v>
      </c>
      <c r="AO1280">
        <v>0</v>
      </c>
      <c r="AP1280">
        <v>0</v>
      </c>
      <c r="AQ1280">
        <v>19.940000000000001</v>
      </c>
      <c r="AR1280">
        <v>0</v>
      </c>
      <c r="AS1280">
        <v>0</v>
      </c>
      <c r="AT1280">
        <v>0</v>
      </c>
      <c r="AU1280">
        <v>0</v>
      </c>
      <c r="AV1280">
        <v>0</v>
      </c>
      <c r="AW1280">
        <v>0</v>
      </c>
      <c r="AX1280">
        <v>0</v>
      </c>
      <c r="AY1280">
        <v>0</v>
      </c>
      <c r="AZ1280">
        <v>0</v>
      </c>
      <c r="BA1280">
        <v>0</v>
      </c>
      <c r="BB1280">
        <v>0</v>
      </c>
      <c r="BC1280">
        <v>0</v>
      </c>
      <c r="BD1280">
        <v>0</v>
      </c>
      <c r="BE1280">
        <v>0</v>
      </c>
      <c r="BF1280">
        <v>0</v>
      </c>
      <c r="BG1280">
        <v>0</v>
      </c>
      <c r="BH1280">
        <v>1</v>
      </c>
      <c r="BI1280">
        <v>5</v>
      </c>
      <c r="BJ1280">
        <v>2.9</v>
      </c>
      <c r="BK1280">
        <v>5</v>
      </c>
      <c r="BL1280">
        <v>59.43</v>
      </c>
      <c r="BM1280">
        <v>8.91</v>
      </c>
      <c r="BN1280">
        <v>68.34</v>
      </c>
      <c r="BO1280">
        <v>68.34</v>
      </c>
      <c r="BQ1280" t="s">
        <v>81</v>
      </c>
      <c r="BR1280" t="s">
        <v>82</v>
      </c>
      <c r="BS1280" s="3">
        <v>46001</v>
      </c>
      <c r="BT1280" s="4">
        <v>0.44722222222222224</v>
      </c>
      <c r="BU1280" t="s">
        <v>2005</v>
      </c>
      <c r="BV1280" t="s">
        <v>84</v>
      </c>
      <c r="BY1280">
        <v>14256</v>
      </c>
      <c r="CA1280" t="s">
        <v>2006</v>
      </c>
      <c r="CC1280" t="s">
        <v>76</v>
      </c>
      <c r="CD1280">
        <v>1619</v>
      </c>
      <c r="CE1280" t="s">
        <v>93</v>
      </c>
      <c r="CF1280" s="3">
        <v>46002</v>
      </c>
      <c r="CI1280">
        <v>1</v>
      </c>
      <c r="CJ1280">
        <v>1</v>
      </c>
      <c r="CK1280">
        <v>32</v>
      </c>
      <c r="CL1280" t="s">
        <v>87</v>
      </c>
    </row>
    <row r="1281" spans="1:90" x14ac:dyDescent="0.3">
      <c r="A1281" t="s">
        <v>72</v>
      </c>
      <c r="B1281" t="s">
        <v>73</v>
      </c>
      <c r="C1281" t="s">
        <v>74</v>
      </c>
      <c r="E1281" t="str">
        <f>"080069793698"</f>
        <v>080069793698</v>
      </c>
      <c r="F1281" s="3">
        <v>46000</v>
      </c>
      <c r="G1281">
        <v>202609</v>
      </c>
      <c r="H1281" t="s">
        <v>75</v>
      </c>
      <c r="I1281" t="s">
        <v>76</v>
      </c>
      <c r="J1281" t="s">
        <v>77</v>
      </c>
      <c r="K1281" t="s">
        <v>78</v>
      </c>
      <c r="L1281" t="s">
        <v>302</v>
      </c>
      <c r="M1281" t="s">
        <v>303</v>
      </c>
      <c r="N1281" t="s">
        <v>1056</v>
      </c>
      <c r="O1281" t="s">
        <v>80</v>
      </c>
      <c r="P1281" t="str">
        <f>"4170072671                    "</f>
        <v xml:space="preserve">4170072671                    </v>
      </c>
      <c r="Q1281">
        <v>0</v>
      </c>
      <c r="R1281">
        <v>0</v>
      </c>
      <c r="S1281">
        <v>0</v>
      </c>
      <c r="T1281">
        <v>0</v>
      </c>
      <c r="U1281">
        <v>0</v>
      </c>
      <c r="V1281">
        <v>0</v>
      </c>
      <c r="W1281">
        <v>0</v>
      </c>
      <c r="X1281">
        <v>0</v>
      </c>
      <c r="Y1281">
        <v>0</v>
      </c>
      <c r="Z1281">
        <v>0</v>
      </c>
      <c r="AA1281">
        <v>0</v>
      </c>
      <c r="AB1281">
        <v>0</v>
      </c>
      <c r="AC1281">
        <v>0</v>
      </c>
      <c r="AD1281">
        <v>0</v>
      </c>
      <c r="AE1281">
        <v>0</v>
      </c>
      <c r="AF1281">
        <v>0</v>
      </c>
      <c r="AG1281">
        <v>0</v>
      </c>
      <c r="AH1281">
        <v>0</v>
      </c>
      <c r="AI1281">
        <v>0</v>
      </c>
      <c r="AJ1281">
        <v>0</v>
      </c>
      <c r="AK1281">
        <v>0</v>
      </c>
      <c r="AL1281">
        <v>0</v>
      </c>
      <c r="AM1281">
        <v>0</v>
      </c>
      <c r="AN1281">
        <v>0</v>
      </c>
      <c r="AO1281">
        <v>0</v>
      </c>
      <c r="AP1281">
        <v>0</v>
      </c>
      <c r="AQ1281">
        <v>49.36</v>
      </c>
      <c r="AR1281">
        <v>0</v>
      </c>
      <c r="AS1281">
        <v>0</v>
      </c>
      <c r="AT1281">
        <v>0</v>
      </c>
      <c r="AU1281">
        <v>0</v>
      </c>
      <c r="AV1281">
        <v>0</v>
      </c>
      <c r="AW1281">
        <v>0</v>
      </c>
      <c r="AX1281">
        <v>0</v>
      </c>
      <c r="AY1281">
        <v>0</v>
      </c>
      <c r="AZ1281">
        <v>0</v>
      </c>
      <c r="BA1281">
        <v>0</v>
      </c>
      <c r="BB1281">
        <v>0</v>
      </c>
      <c r="BC1281">
        <v>0</v>
      </c>
      <c r="BD1281">
        <v>0</v>
      </c>
      <c r="BE1281">
        <v>0</v>
      </c>
      <c r="BF1281">
        <v>0</v>
      </c>
      <c r="BG1281">
        <v>0</v>
      </c>
      <c r="BH1281">
        <v>1</v>
      </c>
      <c r="BI1281">
        <v>8</v>
      </c>
      <c r="BJ1281">
        <v>4.0999999999999996</v>
      </c>
      <c r="BK1281">
        <v>8</v>
      </c>
      <c r="BL1281">
        <v>153.19999999999999</v>
      </c>
      <c r="BM1281">
        <v>22.98</v>
      </c>
      <c r="BN1281">
        <v>176.18</v>
      </c>
      <c r="BO1281">
        <v>176.18</v>
      </c>
      <c r="BQ1281" t="s">
        <v>1057</v>
      </c>
      <c r="BR1281" t="s">
        <v>82</v>
      </c>
      <c r="BS1281" s="3">
        <v>46001</v>
      </c>
      <c r="BT1281" s="4">
        <v>0.44930555555555557</v>
      </c>
      <c r="BU1281" t="s">
        <v>1604</v>
      </c>
      <c r="BV1281" t="s">
        <v>84</v>
      </c>
      <c r="BY1281">
        <v>20358</v>
      </c>
      <c r="CA1281">
        <v>8110305701087</v>
      </c>
      <c r="CC1281" t="s">
        <v>303</v>
      </c>
      <c r="CD1281" s="5" t="s">
        <v>933</v>
      </c>
      <c r="CE1281" t="s">
        <v>86</v>
      </c>
      <c r="CF1281" s="3">
        <v>46001</v>
      </c>
      <c r="CI1281">
        <v>1</v>
      </c>
      <c r="CJ1281">
        <v>1</v>
      </c>
      <c r="CK1281">
        <v>41</v>
      </c>
      <c r="CL1281" t="s">
        <v>87</v>
      </c>
    </row>
    <row r="1282" spans="1:90" x14ac:dyDescent="0.3">
      <c r="A1282" t="s">
        <v>72</v>
      </c>
      <c r="B1282" t="s">
        <v>73</v>
      </c>
      <c r="C1282" t="s">
        <v>74</v>
      </c>
      <c r="E1282" t="str">
        <f>"080069793724"</f>
        <v>080069793724</v>
      </c>
      <c r="F1282" s="3">
        <v>46000</v>
      </c>
      <c r="G1282">
        <v>202609</v>
      </c>
      <c r="H1282" t="s">
        <v>75</v>
      </c>
      <c r="I1282" t="s">
        <v>76</v>
      </c>
      <c r="J1282" t="s">
        <v>77</v>
      </c>
      <c r="K1282" t="s">
        <v>78</v>
      </c>
      <c r="L1282" t="s">
        <v>141</v>
      </c>
      <c r="M1282" t="s">
        <v>142</v>
      </c>
      <c r="N1282" t="s">
        <v>587</v>
      </c>
      <c r="O1282" t="s">
        <v>89</v>
      </c>
      <c r="P1282" t="str">
        <f>"4170072725                    "</f>
        <v xml:space="preserve">4170072725                    </v>
      </c>
      <c r="Q1282">
        <v>0</v>
      </c>
      <c r="R1282">
        <v>0</v>
      </c>
      <c r="S1282">
        <v>0</v>
      </c>
      <c r="T1282">
        <v>0</v>
      </c>
      <c r="U1282">
        <v>0</v>
      </c>
      <c r="V1282">
        <v>0</v>
      </c>
      <c r="W1282">
        <v>0</v>
      </c>
      <c r="X1282">
        <v>0</v>
      </c>
      <c r="Y1282">
        <v>0</v>
      </c>
      <c r="Z1282">
        <v>0</v>
      </c>
      <c r="AA1282">
        <v>0</v>
      </c>
      <c r="AB1282">
        <v>0</v>
      </c>
      <c r="AC1282">
        <v>0</v>
      </c>
      <c r="AD1282">
        <v>0</v>
      </c>
      <c r="AE1282">
        <v>0</v>
      </c>
      <c r="AF1282">
        <v>0</v>
      </c>
      <c r="AG1282">
        <v>0</v>
      </c>
      <c r="AH1282">
        <v>0</v>
      </c>
      <c r="AI1282">
        <v>0</v>
      </c>
      <c r="AJ1282">
        <v>0</v>
      </c>
      <c r="AK1282">
        <v>0</v>
      </c>
      <c r="AL1282">
        <v>0</v>
      </c>
      <c r="AM1282">
        <v>0</v>
      </c>
      <c r="AN1282">
        <v>0</v>
      </c>
      <c r="AO1282">
        <v>0</v>
      </c>
      <c r="AP1282">
        <v>0</v>
      </c>
      <c r="AQ1282">
        <v>57.41</v>
      </c>
      <c r="AR1282">
        <v>0</v>
      </c>
      <c r="AS1282">
        <v>0</v>
      </c>
      <c r="AT1282">
        <v>0</v>
      </c>
      <c r="AU1282">
        <v>0</v>
      </c>
      <c r="AV1282">
        <v>0</v>
      </c>
      <c r="AW1282">
        <v>0</v>
      </c>
      <c r="AX1282">
        <v>0</v>
      </c>
      <c r="AY1282">
        <v>0</v>
      </c>
      <c r="AZ1282">
        <v>0</v>
      </c>
      <c r="BA1282">
        <v>0</v>
      </c>
      <c r="BB1282">
        <v>0</v>
      </c>
      <c r="BC1282">
        <v>0</v>
      </c>
      <c r="BD1282">
        <v>0</v>
      </c>
      <c r="BE1282">
        <v>0</v>
      </c>
      <c r="BF1282">
        <v>0</v>
      </c>
      <c r="BG1282">
        <v>0</v>
      </c>
      <c r="BH1282">
        <v>1</v>
      </c>
      <c r="BI1282">
        <v>3</v>
      </c>
      <c r="BJ1282">
        <v>4.0999999999999996</v>
      </c>
      <c r="BK1282">
        <v>4.5</v>
      </c>
      <c r="BL1282">
        <v>171.1</v>
      </c>
      <c r="BM1282">
        <v>25.67</v>
      </c>
      <c r="BN1282">
        <v>196.77</v>
      </c>
      <c r="BO1282">
        <v>196.77</v>
      </c>
      <c r="BQ1282" t="s">
        <v>588</v>
      </c>
      <c r="BR1282" t="s">
        <v>82</v>
      </c>
      <c r="BS1282" s="3">
        <v>46001</v>
      </c>
      <c r="BT1282" s="4">
        <v>0.40347222222222223</v>
      </c>
      <c r="BU1282" t="s">
        <v>1898</v>
      </c>
      <c r="BV1282" t="s">
        <v>84</v>
      </c>
      <c r="BY1282">
        <v>20358</v>
      </c>
      <c r="CA1282" t="s">
        <v>571</v>
      </c>
      <c r="CC1282" t="s">
        <v>142</v>
      </c>
      <c r="CD1282">
        <v>6001</v>
      </c>
      <c r="CE1282" t="s">
        <v>86</v>
      </c>
      <c r="CI1282">
        <v>1</v>
      </c>
      <c r="CJ1282">
        <v>1</v>
      </c>
      <c r="CK1282">
        <v>21</v>
      </c>
      <c r="CL1282" t="s">
        <v>87</v>
      </c>
    </row>
    <row r="1283" spans="1:90" x14ac:dyDescent="0.3">
      <c r="A1283" t="s">
        <v>72</v>
      </c>
      <c r="B1283" t="s">
        <v>73</v>
      </c>
      <c r="C1283" t="s">
        <v>74</v>
      </c>
      <c r="E1283" t="str">
        <f>"080069793758"</f>
        <v>080069793758</v>
      </c>
      <c r="F1283" s="3">
        <v>46000</v>
      </c>
      <c r="G1283">
        <v>202609</v>
      </c>
      <c r="H1283" t="s">
        <v>75</v>
      </c>
      <c r="I1283" t="s">
        <v>76</v>
      </c>
      <c r="J1283" t="s">
        <v>77</v>
      </c>
      <c r="K1283" t="s">
        <v>78</v>
      </c>
      <c r="L1283" t="s">
        <v>75</v>
      </c>
      <c r="M1283" t="s">
        <v>76</v>
      </c>
      <c r="N1283" t="s">
        <v>79</v>
      </c>
      <c r="O1283" t="s">
        <v>80</v>
      </c>
      <c r="P1283" t="str">
        <f>"4170072644                    "</f>
        <v xml:space="preserve">4170072644                    </v>
      </c>
      <c r="Q1283">
        <v>0</v>
      </c>
      <c r="R1283">
        <v>0</v>
      </c>
      <c r="S1283">
        <v>0</v>
      </c>
      <c r="T1283">
        <v>0</v>
      </c>
      <c r="U1283">
        <v>0</v>
      </c>
      <c r="V1283">
        <v>0</v>
      </c>
      <c r="W1283">
        <v>0</v>
      </c>
      <c r="X1283">
        <v>0</v>
      </c>
      <c r="Y1283">
        <v>0</v>
      </c>
      <c r="Z1283">
        <v>0</v>
      </c>
      <c r="AA1283">
        <v>0</v>
      </c>
      <c r="AB1283">
        <v>0</v>
      </c>
      <c r="AC1283">
        <v>0</v>
      </c>
      <c r="AD1283">
        <v>0</v>
      </c>
      <c r="AE1283">
        <v>0</v>
      </c>
      <c r="AF1283">
        <v>0</v>
      </c>
      <c r="AG1283">
        <v>0</v>
      </c>
      <c r="AH1283">
        <v>0</v>
      </c>
      <c r="AI1283">
        <v>0</v>
      </c>
      <c r="AJ1283">
        <v>0</v>
      </c>
      <c r="AK1283">
        <v>0</v>
      </c>
      <c r="AL1283">
        <v>0</v>
      </c>
      <c r="AM1283">
        <v>0</v>
      </c>
      <c r="AN1283">
        <v>0</v>
      </c>
      <c r="AO1283">
        <v>0</v>
      </c>
      <c r="AP1283">
        <v>0</v>
      </c>
      <c r="AQ1283">
        <v>44.75</v>
      </c>
      <c r="AR1283">
        <v>0</v>
      </c>
      <c r="AS1283">
        <v>0</v>
      </c>
      <c r="AT1283">
        <v>0</v>
      </c>
      <c r="AU1283">
        <v>0</v>
      </c>
      <c r="AV1283">
        <v>0</v>
      </c>
      <c r="AW1283">
        <v>0</v>
      </c>
      <c r="AX1283">
        <v>0</v>
      </c>
      <c r="AY1283">
        <v>0</v>
      </c>
      <c r="AZ1283">
        <v>0</v>
      </c>
      <c r="BA1283">
        <v>0</v>
      </c>
      <c r="BB1283">
        <v>0</v>
      </c>
      <c r="BC1283">
        <v>0</v>
      </c>
      <c r="BD1283">
        <v>0</v>
      </c>
      <c r="BE1283">
        <v>0</v>
      </c>
      <c r="BF1283">
        <v>0</v>
      </c>
      <c r="BG1283">
        <v>0</v>
      </c>
      <c r="BH1283">
        <v>1</v>
      </c>
      <c r="BI1283">
        <v>20.9</v>
      </c>
      <c r="BJ1283">
        <v>16.8</v>
      </c>
      <c r="BK1283">
        <v>21</v>
      </c>
      <c r="BL1283">
        <v>139.47</v>
      </c>
      <c r="BM1283">
        <v>20.92</v>
      </c>
      <c r="BN1283">
        <v>160.38999999999999</v>
      </c>
      <c r="BO1283">
        <v>160.38999999999999</v>
      </c>
      <c r="BQ1283" t="s">
        <v>81</v>
      </c>
      <c r="BR1283" t="s">
        <v>82</v>
      </c>
      <c r="BS1283" s="3">
        <v>46001</v>
      </c>
      <c r="BT1283" s="4">
        <v>0.51944444444444449</v>
      </c>
      <c r="BU1283" t="s">
        <v>1994</v>
      </c>
      <c r="BV1283" t="s">
        <v>84</v>
      </c>
      <c r="BY1283">
        <v>83850.36</v>
      </c>
      <c r="CA1283" t="s">
        <v>863</v>
      </c>
      <c r="CC1283" t="s">
        <v>76</v>
      </c>
      <c r="CD1283">
        <v>1619</v>
      </c>
      <c r="CE1283" t="s">
        <v>86</v>
      </c>
      <c r="CF1283" s="3">
        <v>46001</v>
      </c>
      <c r="CI1283">
        <v>1</v>
      </c>
      <c r="CJ1283">
        <v>1</v>
      </c>
      <c r="CK1283">
        <v>42</v>
      </c>
      <c r="CL1283" t="s">
        <v>87</v>
      </c>
    </row>
    <row r="1284" spans="1:90" x14ac:dyDescent="0.3">
      <c r="A1284" t="s">
        <v>72</v>
      </c>
      <c r="B1284" t="s">
        <v>73</v>
      </c>
      <c r="C1284" t="s">
        <v>74</v>
      </c>
      <c r="E1284" t="str">
        <f>"080069793768"</f>
        <v>080069793768</v>
      </c>
      <c r="F1284" s="3">
        <v>46000</v>
      </c>
      <c r="G1284">
        <v>202609</v>
      </c>
      <c r="H1284" t="s">
        <v>75</v>
      </c>
      <c r="I1284" t="s">
        <v>76</v>
      </c>
      <c r="J1284" t="s">
        <v>77</v>
      </c>
      <c r="K1284" t="s">
        <v>78</v>
      </c>
      <c r="L1284" t="s">
        <v>1120</v>
      </c>
      <c r="M1284" t="s">
        <v>1121</v>
      </c>
      <c r="N1284" t="s">
        <v>1931</v>
      </c>
      <c r="O1284" t="s">
        <v>89</v>
      </c>
      <c r="P1284" t="str">
        <f>"4170072714                    "</f>
        <v xml:space="preserve">4170072714                    </v>
      </c>
      <c r="Q1284">
        <v>0</v>
      </c>
      <c r="R1284">
        <v>0</v>
      </c>
      <c r="S1284">
        <v>0</v>
      </c>
      <c r="T1284">
        <v>0</v>
      </c>
      <c r="U1284">
        <v>0</v>
      </c>
      <c r="V1284">
        <v>0</v>
      </c>
      <c r="W1284">
        <v>0</v>
      </c>
      <c r="X1284">
        <v>0</v>
      </c>
      <c r="Y1284">
        <v>0</v>
      </c>
      <c r="Z1284">
        <v>0</v>
      </c>
      <c r="AA1284">
        <v>0</v>
      </c>
      <c r="AB1284">
        <v>0</v>
      </c>
      <c r="AC1284">
        <v>0</v>
      </c>
      <c r="AD1284">
        <v>0</v>
      </c>
      <c r="AE1284">
        <v>0</v>
      </c>
      <c r="AF1284">
        <v>0</v>
      </c>
      <c r="AG1284">
        <v>0</v>
      </c>
      <c r="AH1284">
        <v>0</v>
      </c>
      <c r="AI1284">
        <v>0</v>
      </c>
      <c r="AJ1284">
        <v>0</v>
      </c>
      <c r="AK1284">
        <v>0</v>
      </c>
      <c r="AL1284">
        <v>0</v>
      </c>
      <c r="AM1284">
        <v>0</v>
      </c>
      <c r="AN1284">
        <v>0</v>
      </c>
      <c r="AO1284">
        <v>0</v>
      </c>
      <c r="AP1284">
        <v>0</v>
      </c>
      <c r="AQ1284">
        <v>71.790000000000006</v>
      </c>
      <c r="AR1284">
        <v>0</v>
      </c>
      <c r="AS1284">
        <v>0</v>
      </c>
      <c r="AT1284">
        <v>0</v>
      </c>
      <c r="AU1284">
        <v>0</v>
      </c>
      <c r="AV1284">
        <v>0</v>
      </c>
      <c r="AW1284">
        <v>0</v>
      </c>
      <c r="AX1284">
        <v>0</v>
      </c>
      <c r="AY1284">
        <v>0</v>
      </c>
      <c r="AZ1284">
        <v>0</v>
      </c>
      <c r="BA1284">
        <v>0</v>
      </c>
      <c r="BB1284">
        <v>0</v>
      </c>
      <c r="BC1284">
        <v>0</v>
      </c>
      <c r="BD1284">
        <v>0</v>
      </c>
      <c r="BE1284">
        <v>0</v>
      </c>
      <c r="BF1284">
        <v>0</v>
      </c>
      <c r="BG1284">
        <v>0</v>
      </c>
      <c r="BH1284">
        <v>1</v>
      </c>
      <c r="BI1284">
        <v>3</v>
      </c>
      <c r="BJ1284">
        <v>1.5</v>
      </c>
      <c r="BK1284">
        <v>3</v>
      </c>
      <c r="BL1284">
        <v>213.94</v>
      </c>
      <c r="BM1284">
        <v>32.090000000000003</v>
      </c>
      <c r="BN1284">
        <v>246.03</v>
      </c>
      <c r="BO1284">
        <v>246.03</v>
      </c>
      <c r="BQ1284" t="s">
        <v>1932</v>
      </c>
      <c r="BR1284" t="s">
        <v>82</v>
      </c>
      <c r="BS1284" s="3">
        <v>46002</v>
      </c>
      <c r="BT1284" s="4">
        <v>0.40972222222222221</v>
      </c>
      <c r="BU1284" t="s">
        <v>1933</v>
      </c>
      <c r="BV1284" t="s">
        <v>87</v>
      </c>
      <c r="BY1284">
        <v>7540</v>
      </c>
      <c r="CA1284">
        <v>8201075560082</v>
      </c>
      <c r="CC1284" t="s">
        <v>1121</v>
      </c>
      <c r="CD1284" s="5" t="s">
        <v>1935</v>
      </c>
      <c r="CE1284" t="s">
        <v>86</v>
      </c>
      <c r="CI1284">
        <v>1</v>
      </c>
      <c r="CJ1284">
        <v>2</v>
      </c>
      <c r="CK1284">
        <v>23</v>
      </c>
      <c r="CL1284" t="s">
        <v>87</v>
      </c>
    </row>
    <row r="1285" spans="1:90" x14ac:dyDescent="0.3">
      <c r="A1285" t="s">
        <v>72</v>
      </c>
      <c r="B1285" t="s">
        <v>73</v>
      </c>
      <c r="C1285" t="s">
        <v>74</v>
      </c>
      <c r="E1285" t="str">
        <f>"080069793879"</f>
        <v>080069793879</v>
      </c>
      <c r="F1285" s="3">
        <v>46000</v>
      </c>
      <c r="G1285">
        <v>202609</v>
      </c>
      <c r="H1285" t="s">
        <v>75</v>
      </c>
      <c r="I1285" t="s">
        <v>76</v>
      </c>
      <c r="J1285" t="s">
        <v>77</v>
      </c>
      <c r="K1285" t="s">
        <v>78</v>
      </c>
      <c r="L1285" t="s">
        <v>135</v>
      </c>
      <c r="M1285" t="s">
        <v>136</v>
      </c>
      <c r="N1285" t="s">
        <v>2007</v>
      </c>
      <c r="O1285" t="s">
        <v>80</v>
      </c>
      <c r="P1285" t="str">
        <f>"4170072741                    "</f>
        <v xml:space="preserve">4170072741                    </v>
      </c>
      <c r="Q1285">
        <v>0</v>
      </c>
      <c r="R1285">
        <v>0</v>
      </c>
      <c r="S1285">
        <v>0</v>
      </c>
      <c r="T1285">
        <v>0</v>
      </c>
      <c r="U1285">
        <v>0</v>
      </c>
      <c r="V1285">
        <v>0</v>
      </c>
      <c r="W1285">
        <v>0</v>
      </c>
      <c r="X1285">
        <v>0</v>
      </c>
      <c r="Y1285">
        <v>0</v>
      </c>
      <c r="Z1285">
        <v>0</v>
      </c>
      <c r="AA1285">
        <v>0</v>
      </c>
      <c r="AB1285">
        <v>0</v>
      </c>
      <c r="AC1285">
        <v>0</v>
      </c>
      <c r="AD1285">
        <v>0</v>
      </c>
      <c r="AE1285">
        <v>0</v>
      </c>
      <c r="AF1285">
        <v>0</v>
      </c>
      <c r="AG1285">
        <v>0</v>
      </c>
      <c r="AH1285">
        <v>0</v>
      </c>
      <c r="AI1285">
        <v>0</v>
      </c>
      <c r="AJ1285">
        <v>0</v>
      </c>
      <c r="AK1285">
        <v>0</v>
      </c>
      <c r="AL1285">
        <v>0</v>
      </c>
      <c r="AM1285">
        <v>0</v>
      </c>
      <c r="AN1285">
        <v>0</v>
      </c>
      <c r="AO1285">
        <v>0</v>
      </c>
      <c r="AP1285">
        <v>0</v>
      </c>
      <c r="AQ1285">
        <v>183.38</v>
      </c>
      <c r="AR1285">
        <v>0</v>
      </c>
      <c r="AS1285">
        <v>0</v>
      </c>
      <c r="AT1285">
        <v>0</v>
      </c>
      <c r="AU1285">
        <v>0</v>
      </c>
      <c r="AV1285">
        <v>0</v>
      </c>
      <c r="AW1285">
        <v>0</v>
      </c>
      <c r="AX1285">
        <v>0</v>
      </c>
      <c r="AY1285">
        <v>0</v>
      </c>
      <c r="AZ1285">
        <v>0</v>
      </c>
      <c r="BA1285">
        <v>0</v>
      </c>
      <c r="BB1285">
        <v>0</v>
      </c>
      <c r="BC1285">
        <v>0</v>
      </c>
      <c r="BD1285">
        <v>0</v>
      </c>
      <c r="BE1285">
        <v>0</v>
      </c>
      <c r="BF1285">
        <v>0</v>
      </c>
      <c r="BG1285">
        <v>0</v>
      </c>
      <c r="BH1285">
        <v>2</v>
      </c>
      <c r="BI1285">
        <v>15.8</v>
      </c>
      <c r="BJ1285">
        <v>46.5</v>
      </c>
      <c r="BK1285">
        <v>47</v>
      </c>
      <c r="BL1285">
        <v>552.61</v>
      </c>
      <c r="BM1285">
        <v>82.89</v>
      </c>
      <c r="BN1285">
        <v>635.5</v>
      </c>
      <c r="BO1285">
        <v>635.5</v>
      </c>
      <c r="BQ1285" t="s">
        <v>2008</v>
      </c>
      <c r="BR1285" t="s">
        <v>82</v>
      </c>
      <c r="BS1285" s="3">
        <v>46002</v>
      </c>
      <c r="BT1285" s="4">
        <v>0.40694444444444444</v>
      </c>
      <c r="BU1285" t="s">
        <v>1151</v>
      </c>
      <c r="BV1285" t="s">
        <v>84</v>
      </c>
      <c r="BY1285">
        <v>232345.43</v>
      </c>
      <c r="CA1285" t="s">
        <v>140</v>
      </c>
      <c r="CC1285" t="s">
        <v>136</v>
      </c>
      <c r="CD1285">
        <v>7110</v>
      </c>
      <c r="CE1285" t="s">
        <v>86</v>
      </c>
      <c r="CI1285">
        <v>3</v>
      </c>
      <c r="CJ1285">
        <v>2</v>
      </c>
      <c r="CK1285">
        <v>43</v>
      </c>
      <c r="CL1285" t="s">
        <v>87</v>
      </c>
    </row>
    <row r="1286" spans="1:90" x14ac:dyDescent="0.3">
      <c r="A1286" t="s">
        <v>72</v>
      </c>
      <c r="B1286" t="s">
        <v>73</v>
      </c>
      <c r="C1286" t="s">
        <v>74</v>
      </c>
      <c r="E1286" t="str">
        <f>"080069793899"</f>
        <v>080069793899</v>
      </c>
      <c r="F1286" s="3">
        <v>46000</v>
      </c>
      <c r="G1286">
        <v>202609</v>
      </c>
      <c r="H1286" t="s">
        <v>75</v>
      </c>
      <c r="I1286" t="s">
        <v>76</v>
      </c>
      <c r="J1286" t="s">
        <v>77</v>
      </c>
      <c r="K1286" t="s">
        <v>78</v>
      </c>
      <c r="L1286" t="s">
        <v>156</v>
      </c>
      <c r="M1286" t="s">
        <v>157</v>
      </c>
      <c r="N1286" t="s">
        <v>443</v>
      </c>
      <c r="O1286" t="s">
        <v>89</v>
      </c>
      <c r="P1286" t="str">
        <f>"4170072700                    "</f>
        <v xml:space="preserve">4170072700                    </v>
      </c>
      <c r="Q1286">
        <v>0</v>
      </c>
      <c r="R1286">
        <v>0</v>
      </c>
      <c r="S1286">
        <v>0</v>
      </c>
      <c r="T1286">
        <v>0</v>
      </c>
      <c r="U1286">
        <v>0</v>
      </c>
      <c r="V1286">
        <v>0</v>
      </c>
      <c r="W1286">
        <v>0</v>
      </c>
      <c r="X1286">
        <v>0</v>
      </c>
      <c r="Y1286">
        <v>0</v>
      </c>
      <c r="Z1286">
        <v>0</v>
      </c>
      <c r="AA1286">
        <v>0</v>
      </c>
      <c r="AB1286">
        <v>0</v>
      </c>
      <c r="AC1286">
        <v>0</v>
      </c>
      <c r="AD1286">
        <v>0</v>
      </c>
      <c r="AE1286">
        <v>0</v>
      </c>
      <c r="AF1286">
        <v>0</v>
      </c>
      <c r="AG1286">
        <v>0</v>
      </c>
      <c r="AH1286">
        <v>0</v>
      </c>
      <c r="AI1286">
        <v>0</v>
      </c>
      <c r="AJ1286">
        <v>0</v>
      </c>
      <c r="AK1286">
        <v>0</v>
      </c>
      <c r="AL1286">
        <v>0</v>
      </c>
      <c r="AM1286">
        <v>0</v>
      </c>
      <c r="AN1286">
        <v>0</v>
      </c>
      <c r="AO1286">
        <v>0</v>
      </c>
      <c r="AP1286">
        <v>0</v>
      </c>
      <c r="AQ1286">
        <v>178.6</v>
      </c>
      <c r="AR1286">
        <v>0</v>
      </c>
      <c r="AS1286">
        <v>0</v>
      </c>
      <c r="AT1286">
        <v>0</v>
      </c>
      <c r="AU1286">
        <v>0</v>
      </c>
      <c r="AV1286">
        <v>0</v>
      </c>
      <c r="AW1286">
        <v>0</v>
      </c>
      <c r="AX1286">
        <v>0</v>
      </c>
      <c r="AY1286">
        <v>0</v>
      </c>
      <c r="AZ1286">
        <v>0</v>
      </c>
      <c r="BA1286">
        <v>0</v>
      </c>
      <c r="BB1286">
        <v>0</v>
      </c>
      <c r="BC1286">
        <v>0</v>
      </c>
      <c r="BD1286">
        <v>0</v>
      </c>
      <c r="BE1286">
        <v>0</v>
      </c>
      <c r="BF1286">
        <v>0</v>
      </c>
      <c r="BG1286">
        <v>0</v>
      </c>
      <c r="BH1286">
        <v>2</v>
      </c>
      <c r="BI1286">
        <v>8</v>
      </c>
      <c r="BJ1286">
        <v>13.9</v>
      </c>
      <c r="BK1286">
        <v>14</v>
      </c>
      <c r="BL1286">
        <v>532.26</v>
      </c>
      <c r="BM1286">
        <v>79.84</v>
      </c>
      <c r="BN1286">
        <v>612.1</v>
      </c>
      <c r="BO1286">
        <v>612.1</v>
      </c>
      <c r="BQ1286" t="s">
        <v>444</v>
      </c>
      <c r="BR1286" t="s">
        <v>82</v>
      </c>
      <c r="BS1286" s="3">
        <v>46001</v>
      </c>
      <c r="BT1286" s="4">
        <v>0.34652777777777777</v>
      </c>
      <c r="BU1286" t="s">
        <v>1194</v>
      </c>
      <c r="BV1286" t="s">
        <v>84</v>
      </c>
      <c r="BY1286">
        <v>69588</v>
      </c>
      <c r="CA1286" t="s">
        <v>346</v>
      </c>
      <c r="CC1286" t="s">
        <v>157</v>
      </c>
      <c r="CD1286">
        <v>7530</v>
      </c>
      <c r="CE1286" t="s">
        <v>93</v>
      </c>
      <c r="CF1286" s="3">
        <v>46002</v>
      </c>
      <c r="CI1286">
        <v>1</v>
      </c>
      <c r="CJ1286">
        <v>1</v>
      </c>
      <c r="CK1286">
        <v>21</v>
      </c>
      <c r="CL1286" t="s">
        <v>87</v>
      </c>
    </row>
    <row r="1287" spans="1:90" x14ac:dyDescent="0.3">
      <c r="A1287" t="s">
        <v>72</v>
      </c>
      <c r="B1287" t="s">
        <v>73</v>
      </c>
      <c r="C1287" t="s">
        <v>74</v>
      </c>
      <c r="E1287" t="str">
        <f>"080069793916"</f>
        <v>080069793916</v>
      </c>
      <c r="F1287" s="3">
        <v>46000</v>
      </c>
      <c r="G1287">
        <v>202609</v>
      </c>
      <c r="H1287" t="s">
        <v>75</v>
      </c>
      <c r="I1287" t="s">
        <v>76</v>
      </c>
      <c r="J1287" t="s">
        <v>77</v>
      </c>
      <c r="K1287" t="s">
        <v>78</v>
      </c>
      <c r="L1287" t="s">
        <v>100</v>
      </c>
      <c r="M1287" t="s">
        <v>101</v>
      </c>
      <c r="N1287" t="s">
        <v>1999</v>
      </c>
      <c r="O1287" t="s">
        <v>89</v>
      </c>
      <c r="P1287" t="str">
        <f>"4170072706                    "</f>
        <v xml:space="preserve">4170072706                    </v>
      </c>
      <c r="Q1287">
        <v>0</v>
      </c>
      <c r="R1287">
        <v>0</v>
      </c>
      <c r="S1287">
        <v>0</v>
      </c>
      <c r="T1287">
        <v>0</v>
      </c>
      <c r="U1287">
        <v>0</v>
      </c>
      <c r="V1287">
        <v>0</v>
      </c>
      <c r="W1287">
        <v>0</v>
      </c>
      <c r="X1287">
        <v>0</v>
      </c>
      <c r="Y1287">
        <v>0</v>
      </c>
      <c r="Z1287">
        <v>0</v>
      </c>
      <c r="AA1287">
        <v>0</v>
      </c>
      <c r="AB1287">
        <v>0</v>
      </c>
      <c r="AC1287">
        <v>0</v>
      </c>
      <c r="AD1287">
        <v>0</v>
      </c>
      <c r="AE1287">
        <v>0</v>
      </c>
      <c r="AF1287">
        <v>0</v>
      </c>
      <c r="AG1287">
        <v>0</v>
      </c>
      <c r="AH1287">
        <v>0</v>
      </c>
      <c r="AI1287">
        <v>0</v>
      </c>
      <c r="AJ1287">
        <v>0</v>
      </c>
      <c r="AK1287">
        <v>0</v>
      </c>
      <c r="AL1287">
        <v>0</v>
      </c>
      <c r="AM1287">
        <v>0</v>
      </c>
      <c r="AN1287">
        <v>0</v>
      </c>
      <c r="AO1287">
        <v>0</v>
      </c>
      <c r="AP1287">
        <v>0</v>
      </c>
      <c r="AQ1287">
        <v>25.52</v>
      </c>
      <c r="AR1287">
        <v>0</v>
      </c>
      <c r="AS1287">
        <v>0</v>
      </c>
      <c r="AT1287">
        <v>0</v>
      </c>
      <c r="AU1287">
        <v>0</v>
      </c>
      <c r="AV1287">
        <v>0</v>
      </c>
      <c r="AW1287">
        <v>0</v>
      </c>
      <c r="AX1287">
        <v>0</v>
      </c>
      <c r="AY1287">
        <v>0</v>
      </c>
      <c r="AZ1287">
        <v>0</v>
      </c>
      <c r="BA1287">
        <v>0</v>
      </c>
      <c r="BB1287">
        <v>0</v>
      </c>
      <c r="BC1287">
        <v>0</v>
      </c>
      <c r="BD1287">
        <v>0</v>
      </c>
      <c r="BE1287">
        <v>0</v>
      </c>
      <c r="BF1287">
        <v>0</v>
      </c>
      <c r="BG1287">
        <v>0</v>
      </c>
      <c r="BH1287">
        <v>1</v>
      </c>
      <c r="BI1287">
        <v>1</v>
      </c>
      <c r="BJ1287">
        <v>1.5</v>
      </c>
      <c r="BK1287">
        <v>1.5</v>
      </c>
      <c r="BL1287">
        <v>76.06</v>
      </c>
      <c r="BM1287">
        <v>11.41</v>
      </c>
      <c r="BN1287">
        <v>87.47</v>
      </c>
      <c r="BO1287">
        <v>87.47</v>
      </c>
      <c r="BQ1287" t="s">
        <v>2000</v>
      </c>
      <c r="BR1287" t="s">
        <v>82</v>
      </c>
      <c r="BS1287" s="3">
        <v>46001</v>
      </c>
      <c r="BT1287" s="4">
        <v>0.41875000000000001</v>
      </c>
      <c r="BU1287" t="s">
        <v>2001</v>
      </c>
      <c r="BV1287" t="s">
        <v>84</v>
      </c>
      <c r="BY1287">
        <v>7540</v>
      </c>
      <c r="CA1287" t="s">
        <v>1557</v>
      </c>
      <c r="CC1287" t="s">
        <v>101</v>
      </c>
      <c r="CD1287">
        <v>4000</v>
      </c>
      <c r="CE1287" t="s">
        <v>86</v>
      </c>
      <c r="CF1287" s="3">
        <v>46001</v>
      </c>
      <c r="CI1287">
        <v>1</v>
      </c>
      <c r="CJ1287">
        <v>1</v>
      </c>
      <c r="CK1287">
        <v>21</v>
      </c>
      <c r="CL1287" t="s">
        <v>87</v>
      </c>
    </row>
    <row r="1288" spans="1:90" x14ac:dyDescent="0.3">
      <c r="A1288" t="s">
        <v>72</v>
      </c>
      <c r="B1288" t="s">
        <v>73</v>
      </c>
      <c r="C1288" t="s">
        <v>74</v>
      </c>
      <c r="E1288" t="str">
        <f>"080069793928"</f>
        <v>080069793928</v>
      </c>
      <c r="F1288" s="3">
        <v>46000</v>
      </c>
      <c r="G1288">
        <v>202609</v>
      </c>
      <c r="H1288" t="s">
        <v>75</v>
      </c>
      <c r="I1288" t="s">
        <v>76</v>
      </c>
      <c r="J1288" t="s">
        <v>77</v>
      </c>
      <c r="K1288" t="s">
        <v>78</v>
      </c>
      <c r="L1288" t="s">
        <v>208</v>
      </c>
      <c r="M1288" t="s">
        <v>209</v>
      </c>
      <c r="N1288" t="s">
        <v>258</v>
      </c>
      <c r="O1288" t="s">
        <v>80</v>
      </c>
      <c r="P1288" t="str">
        <f>"4170072638                    "</f>
        <v xml:space="preserve">4170072638                    </v>
      </c>
      <c r="Q1288">
        <v>0</v>
      </c>
      <c r="R1288">
        <v>0</v>
      </c>
      <c r="S1288">
        <v>0</v>
      </c>
      <c r="T1288">
        <v>0</v>
      </c>
      <c r="U1288">
        <v>0</v>
      </c>
      <c r="V1288">
        <v>0</v>
      </c>
      <c r="W1288">
        <v>0</v>
      </c>
      <c r="X1288">
        <v>0</v>
      </c>
      <c r="Y1288">
        <v>0</v>
      </c>
      <c r="Z1288">
        <v>0</v>
      </c>
      <c r="AA1288">
        <v>0</v>
      </c>
      <c r="AB1288">
        <v>0</v>
      </c>
      <c r="AC1288">
        <v>0</v>
      </c>
      <c r="AD1288">
        <v>0</v>
      </c>
      <c r="AE1288">
        <v>0</v>
      </c>
      <c r="AF1288">
        <v>0</v>
      </c>
      <c r="AG1288">
        <v>0</v>
      </c>
      <c r="AH1288">
        <v>0</v>
      </c>
      <c r="AI1288">
        <v>0</v>
      </c>
      <c r="AJ1288">
        <v>0</v>
      </c>
      <c r="AK1288">
        <v>0</v>
      </c>
      <c r="AL1288">
        <v>0</v>
      </c>
      <c r="AM1288">
        <v>0</v>
      </c>
      <c r="AN1288">
        <v>0</v>
      </c>
      <c r="AO1288">
        <v>0</v>
      </c>
      <c r="AP1288">
        <v>0</v>
      </c>
      <c r="AQ1288">
        <v>49.36</v>
      </c>
      <c r="AR1288">
        <v>0</v>
      </c>
      <c r="AS1288">
        <v>0</v>
      </c>
      <c r="AT1288">
        <v>0</v>
      </c>
      <c r="AU1288">
        <v>0</v>
      </c>
      <c r="AV1288">
        <v>0</v>
      </c>
      <c r="AW1288">
        <v>0</v>
      </c>
      <c r="AX1288">
        <v>0</v>
      </c>
      <c r="AY1288">
        <v>0</v>
      </c>
      <c r="AZ1288">
        <v>0</v>
      </c>
      <c r="BA1288">
        <v>0</v>
      </c>
      <c r="BB1288">
        <v>0</v>
      </c>
      <c r="BC1288">
        <v>0</v>
      </c>
      <c r="BD1288">
        <v>0</v>
      </c>
      <c r="BE1288">
        <v>0</v>
      </c>
      <c r="BF1288">
        <v>0</v>
      </c>
      <c r="BG1288">
        <v>0</v>
      </c>
      <c r="BH1288">
        <v>1</v>
      </c>
      <c r="BI1288">
        <v>4</v>
      </c>
      <c r="BJ1288">
        <v>1.8</v>
      </c>
      <c r="BK1288">
        <v>4</v>
      </c>
      <c r="BL1288">
        <v>153.19999999999999</v>
      </c>
      <c r="BM1288">
        <v>22.98</v>
      </c>
      <c r="BN1288">
        <v>176.18</v>
      </c>
      <c r="BO1288">
        <v>176.18</v>
      </c>
      <c r="BQ1288" t="s">
        <v>259</v>
      </c>
      <c r="BR1288" t="s">
        <v>82</v>
      </c>
      <c r="BS1288" s="3">
        <v>46001</v>
      </c>
      <c r="BT1288" s="4">
        <v>0.35486111111111113</v>
      </c>
      <c r="BU1288" t="s">
        <v>1922</v>
      </c>
      <c r="BV1288" t="s">
        <v>84</v>
      </c>
      <c r="BY1288">
        <v>8816</v>
      </c>
      <c r="CA1288">
        <v>7712195338085</v>
      </c>
      <c r="CC1288" t="s">
        <v>209</v>
      </c>
      <c r="CD1288" s="5" t="s">
        <v>213</v>
      </c>
      <c r="CE1288" t="s">
        <v>86</v>
      </c>
      <c r="CF1288" s="3">
        <v>46001</v>
      </c>
      <c r="CI1288">
        <v>1</v>
      </c>
      <c r="CJ1288">
        <v>1</v>
      </c>
      <c r="CK1288">
        <v>41</v>
      </c>
      <c r="CL1288" t="s">
        <v>87</v>
      </c>
    </row>
    <row r="1289" spans="1:90" x14ac:dyDescent="0.3">
      <c r="A1289" t="s">
        <v>72</v>
      </c>
      <c r="B1289" t="s">
        <v>73</v>
      </c>
      <c r="C1289" t="s">
        <v>74</v>
      </c>
      <c r="E1289" t="str">
        <f>"080069793936"</f>
        <v>080069793936</v>
      </c>
      <c r="F1289" s="3">
        <v>46000</v>
      </c>
      <c r="G1289">
        <v>202609</v>
      </c>
      <c r="H1289" t="s">
        <v>75</v>
      </c>
      <c r="I1289" t="s">
        <v>76</v>
      </c>
      <c r="J1289" t="s">
        <v>77</v>
      </c>
      <c r="K1289" t="s">
        <v>78</v>
      </c>
      <c r="L1289" t="s">
        <v>332</v>
      </c>
      <c r="M1289" t="s">
        <v>333</v>
      </c>
      <c r="N1289" t="s">
        <v>334</v>
      </c>
      <c r="O1289" t="s">
        <v>89</v>
      </c>
      <c r="P1289" t="str">
        <f>"4170072717                    "</f>
        <v xml:space="preserve">4170072717                    </v>
      </c>
      <c r="Q1289">
        <v>0</v>
      </c>
      <c r="R1289">
        <v>0</v>
      </c>
      <c r="S1289">
        <v>0</v>
      </c>
      <c r="T1289">
        <v>0</v>
      </c>
      <c r="U1289">
        <v>0</v>
      </c>
      <c r="V1289">
        <v>0</v>
      </c>
      <c r="W1289">
        <v>0</v>
      </c>
      <c r="X1289">
        <v>0</v>
      </c>
      <c r="Y1289">
        <v>0</v>
      </c>
      <c r="Z1289">
        <v>0</v>
      </c>
      <c r="AA1289">
        <v>0</v>
      </c>
      <c r="AB1289">
        <v>0</v>
      </c>
      <c r="AC1289">
        <v>0</v>
      </c>
      <c r="AD1289">
        <v>0</v>
      </c>
      <c r="AE1289">
        <v>0</v>
      </c>
      <c r="AF1289">
        <v>0</v>
      </c>
      <c r="AG1289">
        <v>0</v>
      </c>
      <c r="AH1289">
        <v>0</v>
      </c>
      <c r="AI1289">
        <v>0</v>
      </c>
      <c r="AJ1289">
        <v>0</v>
      </c>
      <c r="AK1289">
        <v>0</v>
      </c>
      <c r="AL1289">
        <v>0</v>
      </c>
      <c r="AM1289">
        <v>0</v>
      </c>
      <c r="AN1289">
        <v>0</v>
      </c>
      <c r="AO1289">
        <v>0</v>
      </c>
      <c r="AP1289">
        <v>0</v>
      </c>
      <c r="AQ1289">
        <v>49.45</v>
      </c>
      <c r="AR1289">
        <v>0</v>
      </c>
      <c r="AS1289">
        <v>0</v>
      </c>
      <c r="AT1289">
        <v>0</v>
      </c>
      <c r="AU1289">
        <v>0</v>
      </c>
      <c r="AV1289">
        <v>0</v>
      </c>
      <c r="AW1289">
        <v>0</v>
      </c>
      <c r="AX1289">
        <v>0</v>
      </c>
      <c r="AY1289">
        <v>0</v>
      </c>
      <c r="AZ1289">
        <v>0</v>
      </c>
      <c r="BA1289">
        <v>0</v>
      </c>
      <c r="BB1289">
        <v>0</v>
      </c>
      <c r="BC1289">
        <v>0</v>
      </c>
      <c r="BD1289">
        <v>0</v>
      </c>
      <c r="BE1289">
        <v>0</v>
      </c>
      <c r="BF1289">
        <v>0</v>
      </c>
      <c r="BG1289">
        <v>0</v>
      </c>
      <c r="BH1289">
        <v>1</v>
      </c>
      <c r="BI1289">
        <v>1</v>
      </c>
      <c r="BJ1289">
        <v>0.2</v>
      </c>
      <c r="BK1289">
        <v>1</v>
      </c>
      <c r="BL1289">
        <v>147.38</v>
      </c>
      <c r="BM1289">
        <v>22.11</v>
      </c>
      <c r="BN1289">
        <v>169.49</v>
      </c>
      <c r="BO1289">
        <v>169.49</v>
      </c>
      <c r="BQ1289" t="s">
        <v>335</v>
      </c>
      <c r="BR1289" t="s">
        <v>82</v>
      </c>
      <c r="BS1289" s="3">
        <v>46001</v>
      </c>
      <c r="BT1289" s="4">
        <v>0.63888888888888884</v>
      </c>
      <c r="BU1289" t="s">
        <v>1219</v>
      </c>
      <c r="BV1289" t="s">
        <v>84</v>
      </c>
      <c r="BY1289">
        <v>1200</v>
      </c>
      <c r="CC1289" t="s">
        <v>333</v>
      </c>
      <c r="CD1289">
        <v>6500</v>
      </c>
      <c r="CE1289" t="s">
        <v>134</v>
      </c>
      <c r="CF1289" s="3">
        <v>46002</v>
      </c>
      <c r="CI1289">
        <v>1</v>
      </c>
      <c r="CJ1289">
        <v>1</v>
      </c>
      <c r="CK1289">
        <v>23</v>
      </c>
      <c r="CL1289" t="s">
        <v>87</v>
      </c>
    </row>
    <row r="1290" spans="1:90" x14ac:dyDescent="0.3">
      <c r="A1290" t="s">
        <v>72</v>
      </c>
      <c r="B1290" t="s">
        <v>73</v>
      </c>
      <c r="C1290" t="s">
        <v>74</v>
      </c>
      <c r="E1290" t="str">
        <f>"080069793954"</f>
        <v>080069793954</v>
      </c>
      <c r="F1290" s="3">
        <v>46000</v>
      </c>
      <c r="G1290">
        <v>202609</v>
      </c>
      <c r="H1290" t="s">
        <v>75</v>
      </c>
      <c r="I1290" t="s">
        <v>76</v>
      </c>
      <c r="J1290" t="s">
        <v>77</v>
      </c>
      <c r="K1290" t="s">
        <v>78</v>
      </c>
      <c r="L1290" t="s">
        <v>208</v>
      </c>
      <c r="M1290" t="s">
        <v>209</v>
      </c>
      <c r="N1290" t="s">
        <v>258</v>
      </c>
      <c r="O1290" t="s">
        <v>89</v>
      </c>
      <c r="P1290" t="str">
        <f>"4170072698                    "</f>
        <v xml:space="preserve">4170072698                    </v>
      </c>
      <c r="Q1290">
        <v>0</v>
      </c>
      <c r="R1290">
        <v>0</v>
      </c>
      <c r="S1290">
        <v>0</v>
      </c>
      <c r="T1290">
        <v>0</v>
      </c>
      <c r="U1290">
        <v>0</v>
      </c>
      <c r="V1290">
        <v>0</v>
      </c>
      <c r="W1290">
        <v>0</v>
      </c>
      <c r="X1290">
        <v>0</v>
      </c>
      <c r="Y1290">
        <v>0</v>
      </c>
      <c r="Z1290">
        <v>0</v>
      </c>
      <c r="AA1290">
        <v>0</v>
      </c>
      <c r="AB1290">
        <v>0</v>
      </c>
      <c r="AC1290">
        <v>0</v>
      </c>
      <c r="AD1290">
        <v>0</v>
      </c>
      <c r="AE1290">
        <v>0</v>
      </c>
      <c r="AF1290">
        <v>0</v>
      </c>
      <c r="AG1290">
        <v>0</v>
      </c>
      <c r="AH1290">
        <v>0</v>
      </c>
      <c r="AI1290">
        <v>0</v>
      </c>
      <c r="AJ1290">
        <v>0</v>
      </c>
      <c r="AK1290">
        <v>0</v>
      </c>
      <c r="AL1290">
        <v>0</v>
      </c>
      <c r="AM1290">
        <v>0</v>
      </c>
      <c r="AN1290">
        <v>0</v>
      </c>
      <c r="AO1290">
        <v>0</v>
      </c>
      <c r="AP1290">
        <v>0</v>
      </c>
      <c r="AQ1290">
        <v>25.52</v>
      </c>
      <c r="AR1290">
        <v>0</v>
      </c>
      <c r="AS1290">
        <v>0</v>
      </c>
      <c r="AT1290">
        <v>0</v>
      </c>
      <c r="AU1290">
        <v>0</v>
      </c>
      <c r="AV1290">
        <v>0</v>
      </c>
      <c r="AW1290">
        <v>0</v>
      </c>
      <c r="AX1290">
        <v>0</v>
      </c>
      <c r="AY1290">
        <v>0</v>
      </c>
      <c r="AZ1290">
        <v>0</v>
      </c>
      <c r="BA1290">
        <v>0</v>
      </c>
      <c r="BB1290">
        <v>0</v>
      </c>
      <c r="BC1290">
        <v>0</v>
      </c>
      <c r="BD1290">
        <v>0</v>
      </c>
      <c r="BE1290">
        <v>0</v>
      </c>
      <c r="BF1290">
        <v>0</v>
      </c>
      <c r="BG1290">
        <v>0</v>
      </c>
      <c r="BH1290">
        <v>1</v>
      </c>
      <c r="BI1290">
        <v>1</v>
      </c>
      <c r="BJ1290">
        <v>0.2</v>
      </c>
      <c r="BK1290">
        <v>1</v>
      </c>
      <c r="BL1290">
        <v>76.06</v>
      </c>
      <c r="BM1290">
        <v>11.41</v>
      </c>
      <c r="BN1290">
        <v>87.47</v>
      </c>
      <c r="BO1290">
        <v>87.47</v>
      </c>
      <c r="BQ1290" t="s">
        <v>259</v>
      </c>
      <c r="BR1290" t="s">
        <v>82</v>
      </c>
      <c r="BS1290" s="3">
        <v>46001</v>
      </c>
      <c r="BT1290" s="4">
        <v>0.35625000000000001</v>
      </c>
      <c r="BU1290" t="s">
        <v>1922</v>
      </c>
      <c r="BV1290" t="s">
        <v>84</v>
      </c>
      <c r="BY1290">
        <v>1200</v>
      </c>
      <c r="CA1290">
        <v>7712195338085</v>
      </c>
      <c r="CC1290" t="s">
        <v>209</v>
      </c>
      <c r="CD1290" s="5" t="s">
        <v>213</v>
      </c>
      <c r="CE1290" t="s">
        <v>134</v>
      </c>
      <c r="CF1290" s="3">
        <v>46001</v>
      </c>
      <c r="CI1290">
        <v>1</v>
      </c>
      <c r="CJ1290">
        <v>1</v>
      </c>
      <c r="CK1290">
        <v>21</v>
      </c>
      <c r="CL1290" t="s">
        <v>87</v>
      </c>
    </row>
    <row r="1291" spans="1:90" x14ac:dyDescent="0.3">
      <c r="A1291" t="s">
        <v>72</v>
      </c>
      <c r="B1291" t="s">
        <v>73</v>
      </c>
      <c r="C1291" t="s">
        <v>74</v>
      </c>
      <c r="E1291" t="str">
        <f>"080069793979"</f>
        <v>080069793979</v>
      </c>
      <c r="F1291" s="3">
        <v>46000</v>
      </c>
      <c r="G1291">
        <v>202609</v>
      </c>
      <c r="H1291" t="s">
        <v>75</v>
      </c>
      <c r="I1291" t="s">
        <v>76</v>
      </c>
      <c r="J1291" t="s">
        <v>77</v>
      </c>
      <c r="K1291" t="s">
        <v>78</v>
      </c>
      <c r="L1291" t="s">
        <v>156</v>
      </c>
      <c r="M1291" t="s">
        <v>157</v>
      </c>
      <c r="N1291" t="s">
        <v>2009</v>
      </c>
      <c r="O1291" t="s">
        <v>89</v>
      </c>
      <c r="P1291" t="str">
        <f>"4170072675                    "</f>
        <v xml:space="preserve">4170072675                    </v>
      </c>
      <c r="Q1291">
        <v>0</v>
      </c>
      <c r="R1291">
        <v>0</v>
      </c>
      <c r="S1291">
        <v>0</v>
      </c>
      <c r="T1291">
        <v>0</v>
      </c>
      <c r="U1291">
        <v>0</v>
      </c>
      <c r="V1291">
        <v>0</v>
      </c>
      <c r="W1291">
        <v>0</v>
      </c>
      <c r="X1291">
        <v>0</v>
      </c>
      <c r="Y1291">
        <v>0</v>
      </c>
      <c r="Z1291">
        <v>0</v>
      </c>
      <c r="AA1291">
        <v>0</v>
      </c>
      <c r="AB1291">
        <v>0</v>
      </c>
      <c r="AC1291">
        <v>0</v>
      </c>
      <c r="AD1291">
        <v>0</v>
      </c>
      <c r="AE1291">
        <v>0</v>
      </c>
      <c r="AF1291">
        <v>0</v>
      </c>
      <c r="AG1291">
        <v>0</v>
      </c>
      <c r="AH1291">
        <v>0</v>
      </c>
      <c r="AI1291">
        <v>0</v>
      </c>
      <c r="AJ1291">
        <v>0</v>
      </c>
      <c r="AK1291">
        <v>0</v>
      </c>
      <c r="AL1291">
        <v>0</v>
      </c>
      <c r="AM1291">
        <v>0</v>
      </c>
      <c r="AN1291">
        <v>0</v>
      </c>
      <c r="AO1291">
        <v>0</v>
      </c>
      <c r="AP1291">
        <v>0</v>
      </c>
      <c r="AQ1291">
        <v>38.28</v>
      </c>
      <c r="AR1291">
        <v>0</v>
      </c>
      <c r="AS1291">
        <v>0</v>
      </c>
      <c r="AT1291">
        <v>0</v>
      </c>
      <c r="AU1291">
        <v>0</v>
      </c>
      <c r="AV1291">
        <v>0</v>
      </c>
      <c r="AW1291">
        <v>0</v>
      </c>
      <c r="AX1291">
        <v>0</v>
      </c>
      <c r="AY1291">
        <v>0</v>
      </c>
      <c r="AZ1291">
        <v>0</v>
      </c>
      <c r="BA1291">
        <v>0</v>
      </c>
      <c r="BB1291">
        <v>0</v>
      </c>
      <c r="BC1291">
        <v>0</v>
      </c>
      <c r="BD1291">
        <v>0</v>
      </c>
      <c r="BE1291">
        <v>0</v>
      </c>
      <c r="BF1291">
        <v>0</v>
      </c>
      <c r="BG1291">
        <v>0</v>
      </c>
      <c r="BH1291">
        <v>1</v>
      </c>
      <c r="BI1291">
        <v>3</v>
      </c>
      <c r="BJ1291">
        <v>1.8</v>
      </c>
      <c r="BK1291">
        <v>3</v>
      </c>
      <c r="BL1291">
        <v>114.08</v>
      </c>
      <c r="BM1291">
        <v>17.11</v>
      </c>
      <c r="BN1291">
        <v>131.19</v>
      </c>
      <c r="BO1291">
        <v>131.19</v>
      </c>
      <c r="BQ1291" t="s">
        <v>2010</v>
      </c>
      <c r="BR1291" t="s">
        <v>82</v>
      </c>
      <c r="BS1291" s="3">
        <v>46001</v>
      </c>
      <c r="BT1291" s="4">
        <v>0.43472222222222223</v>
      </c>
      <c r="BU1291" t="s">
        <v>1858</v>
      </c>
      <c r="BV1291" t="s">
        <v>84</v>
      </c>
      <c r="BY1291">
        <v>8816</v>
      </c>
      <c r="CA1291" t="s">
        <v>1217</v>
      </c>
      <c r="CC1291" t="s">
        <v>157</v>
      </c>
      <c r="CD1291">
        <v>7530</v>
      </c>
      <c r="CE1291" t="s">
        <v>86</v>
      </c>
      <c r="CF1291" s="3">
        <v>46002</v>
      </c>
      <c r="CI1291">
        <v>1</v>
      </c>
      <c r="CJ1291">
        <v>1</v>
      </c>
      <c r="CK1291">
        <v>21</v>
      </c>
      <c r="CL1291" t="s">
        <v>87</v>
      </c>
    </row>
    <row r="1292" spans="1:90" x14ac:dyDescent="0.3">
      <c r="A1292" t="s">
        <v>72</v>
      </c>
      <c r="B1292" t="s">
        <v>73</v>
      </c>
      <c r="C1292" t="s">
        <v>74</v>
      </c>
      <c r="E1292" t="str">
        <f>"080069794057"</f>
        <v>080069794057</v>
      </c>
      <c r="F1292" s="3">
        <v>46000</v>
      </c>
      <c r="G1292">
        <v>202609</v>
      </c>
      <c r="H1292" t="s">
        <v>75</v>
      </c>
      <c r="I1292" t="s">
        <v>76</v>
      </c>
      <c r="J1292" t="s">
        <v>77</v>
      </c>
      <c r="K1292" t="s">
        <v>78</v>
      </c>
      <c r="L1292" t="s">
        <v>156</v>
      </c>
      <c r="M1292" t="s">
        <v>157</v>
      </c>
      <c r="N1292" t="s">
        <v>470</v>
      </c>
      <c r="O1292" t="s">
        <v>89</v>
      </c>
      <c r="P1292" t="str">
        <f>"4170072754                    "</f>
        <v xml:space="preserve">4170072754                    </v>
      </c>
      <c r="Q1292">
        <v>0</v>
      </c>
      <c r="R1292">
        <v>0</v>
      </c>
      <c r="S1292">
        <v>0</v>
      </c>
      <c r="T1292">
        <v>0</v>
      </c>
      <c r="U1292">
        <v>0</v>
      </c>
      <c r="V1292">
        <v>0</v>
      </c>
      <c r="W1292">
        <v>0</v>
      </c>
      <c r="X1292">
        <v>0</v>
      </c>
      <c r="Y1292">
        <v>0</v>
      </c>
      <c r="Z1292">
        <v>0</v>
      </c>
      <c r="AA1292">
        <v>0</v>
      </c>
      <c r="AB1292">
        <v>0</v>
      </c>
      <c r="AC1292">
        <v>0</v>
      </c>
      <c r="AD1292">
        <v>0</v>
      </c>
      <c r="AE1292">
        <v>0</v>
      </c>
      <c r="AF1292">
        <v>0</v>
      </c>
      <c r="AG1292">
        <v>0</v>
      </c>
      <c r="AH1292">
        <v>0</v>
      </c>
      <c r="AI1292">
        <v>0</v>
      </c>
      <c r="AJ1292">
        <v>0</v>
      </c>
      <c r="AK1292">
        <v>0</v>
      </c>
      <c r="AL1292">
        <v>0</v>
      </c>
      <c r="AM1292">
        <v>0</v>
      </c>
      <c r="AN1292">
        <v>0</v>
      </c>
      <c r="AO1292">
        <v>0</v>
      </c>
      <c r="AP1292">
        <v>0</v>
      </c>
      <c r="AQ1292">
        <v>25.52</v>
      </c>
      <c r="AR1292">
        <v>0</v>
      </c>
      <c r="AS1292">
        <v>0</v>
      </c>
      <c r="AT1292">
        <v>0</v>
      </c>
      <c r="AU1292">
        <v>0</v>
      </c>
      <c r="AV1292">
        <v>0</v>
      </c>
      <c r="AW1292">
        <v>0</v>
      </c>
      <c r="AX1292">
        <v>0</v>
      </c>
      <c r="AY1292">
        <v>0</v>
      </c>
      <c r="AZ1292">
        <v>0</v>
      </c>
      <c r="BA1292">
        <v>0</v>
      </c>
      <c r="BB1292">
        <v>0</v>
      </c>
      <c r="BC1292">
        <v>0</v>
      </c>
      <c r="BD1292">
        <v>0</v>
      </c>
      <c r="BE1292">
        <v>0</v>
      </c>
      <c r="BF1292">
        <v>0</v>
      </c>
      <c r="BG1292">
        <v>0</v>
      </c>
      <c r="BH1292">
        <v>1</v>
      </c>
      <c r="BI1292">
        <v>1</v>
      </c>
      <c r="BJ1292">
        <v>0.2</v>
      </c>
      <c r="BK1292">
        <v>1</v>
      </c>
      <c r="BL1292">
        <v>76.06</v>
      </c>
      <c r="BM1292">
        <v>11.41</v>
      </c>
      <c r="BN1292">
        <v>87.47</v>
      </c>
      <c r="BO1292">
        <v>87.47</v>
      </c>
      <c r="BQ1292" t="s">
        <v>471</v>
      </c>
      <c r="BR1292" t="s">
        <v>82</v>
      </c>
      <c r="BS1292" s="3">
        <v>46001</v>
      </c>
      <c r="BT1292" s="4">
        <v>0.41875000000000001</v>
      </c>
      <c r="BU1292" t="s">
        <v>984</v>
      </c>
      <c r="BV1292" t="s">
        <v>84</v>
      </c>
      <c r="BY1292">
        <v>1200</v>
      </c>
      <c r="CA1292" t="s">
        <v>473</v>
      </c>
      <c r="CC1292" t="s">
        <v>157</v>
      </c>
      <c r="CD1292">
        <v>7480</v>
      </c>
      <c r="CE1292" t="s">
        <v>134</v>
      </c>
      <c r="CF1292" s="3">
        <v>46002</v>
      </c>
      <c r="CI1292">
        <v>1</v>
      </c>
      <c r="CJ1292">
        <v>1</v>
      </c>
      <c r="CK1292">
        <v>21</v>
      </c>
      <c r="CL1292" t="s">
        <v>87</v>
      </c>
    </row>
    <row r="1293" spans="1:90" x14ac:dyDescent="0.3">
      <c r="A1293" t="s">
        <v>72</v>
      </c>
      <c r="B1293" t="s">
        <v>73</v>
      </c>
      <c r="C1293" t="s">
        <v>74</v>
      </c>
      <c r="E1293" t="str">
        <f>"080069794063"</f>
        <v>080069794063</v>
      </c>
      <c r="F1293" s="3">
        <v>46000</v>
      </c>
      <c r="G1293">
        <v>202609</v>
      </c>
      <c r="H1293" t="s">
        <v>75</v>
      </c>
      <c r="I1293" t="s">
        <v>76</v>
      </c>
      <c r="J1293" t="s">
        <v>77</v>
      </c>
      <c r="K1293" t="s">
        <v>78</v>
      </c>
      <c r="L1293" t="s">
        <v>100</v>
      </c>
      <c r="M1293" t="s">
        <v>101</v>
      </c>
      <c r="N1293" t="s">
        <v>1879</v>
      </c>
      <c r="O1293" t="s">
        <v>89</v>
      </c>
      <c r="P1293" t="str">
        <f>"4170072728                    "</f>
        <v xml:space="preserve">4170072728                    </v>
      </c>
      <c r="Q1293">
        <v>0</v>
      </c>
      <c r="R1293">
        <v>0</v>
      </c>
      <c r="S1293">
        <v>0</v>
      </c>
      <c r="T1293">
        <v>0</v>
      </c>
      <c r="U1293">
        <v>0</v>
      </c>
      <c r="V1293">
        <v>0</v>
      </c>
      <c r="W1293">
        <v>0</v>
      </c>
      <c r="X1293">
        <v>0</v>
      </c>
      <c r="Y1293">
        <v>0</v>
      </c>
      <c r="Z1293">
        <v>0</v>
      </c>
      <c r="AA1293">
        <v>0</v>
      </c>
      <c r="AB1293">
        <v>0</v>
      </c>
      <c r="AC1293">
        <v>0</v>
      </c>
      <c r="AD1293">
        <v>0</v>
      </c>
      <c r="AE1293">
        <v>0</v>
      </c>
      <c r="AF1293">
        <v>0</v>
      </c>
      <c r="AG1293">
        <v>0</v>
      </c>
      <c r="AH1293">
        <v>0</v>
      </c>
      <c r="AI1293">
        <v>0</v>
      </c>
      <c r="AJ1293">
        <v>0</v>
      </c>
      <c r="AK1293">
        <v>0</v>
      </c>
      <c r="AL1293">
        <v>0</v>
      </c>
      <c r="AM1293">
        <v>0</v>
      </c>
      <c r="AN1293">
        <v>0</v>
      </c>
      <c r="AO1293">
        <v>0</v>
      </c>
      <c r="AP1293">
        <v>0</v>
      </c>
      <c r="AQ1293">
        <v>89.3</v>
      </c>
      <c r="AR1293">
        <v>0</v>
      </c>
      <c r="AS1293">
        <v>0</v>
      </c>
      <c r="AT1293">
        <v>0</v>
      </c>
      <c r="AU1293">
        <v>0</v>
      </c>
      <c r="AV1293">
        <v>0</v>
      </c>
      <c r="AW1293">
        <v>0</v>
      </c>
      <c r="AX1293">
        <v>0</v>
      </c>
      <c r="AY1293">
        <v>0</v>
      </c>
      <c r="AZ1293">
        <v>0</v>
      </c>
      <c r="BA1293">
        <v>0</v>
      </c>
      <c r="BB1293">
        <v>0</v>
      </c>
      <c r="BC1293">
        <v>0</v>
      </c>
      <c r="BD1293">
        <v>0</v>
      </c>
      <c r="BE1293">
        <v>0</v>
      </c>
      <c r="BF1293">
        <v>0</v>
      </c>
      <c r="BG1293">
        <v>0</v>
      </c>
      <c r="BH1293">
        <v>1</v>
      </c>
      <c r="BI1293">
        <v>3</v>
      </c>
      <c r="BJ1293">
        <v>6.8</v>
      </c>
      <c r="BK1293">
        <v>7</v>
      </c>
      <c r="BL1293">
        <v>266.14</v>
      </c>
      <c r="BM1293">
        <v>39.92</v>
      </c>
      <c r="BN1293">
        <v>306.06</v>
      </c>
      <c r="BO1293">
        <v>306.06</v>
      </c>
      <c r="BQ1293" t="s">
        <v>1880</v>
      </c>
      <c r="BR1293" t="s">
        <v>82</v>
      </c>
      <c r="BS1293" s="3">
        <v>46001</v>
      </c>
      <c r="BT1293" s="4">
        <v>0.35555555555555557</v>
      </c>
      <c r="BU1293" t="s">
        <v>1786</v>
      </c>
      <c r="BV1293" t="s">
        <v>84</v>
      </c>
      <c r="BY1293">
        <v>34048</v>
      </c>
      <c r="CA1293" t="s">
        <v>1070</v>
      </c>
      <c r="CC1293" t="s">
        <v>101</v>
      </c>
      <c r="CD1293">
        <v>4001</v>
      </c>
      <c r="CE1293" t="s">
        <v>86</v>
      </c>
      <c r="CF1293" s="3">
        <v>46002</v>
      </c>
      <c r="CI1293">
        <v>1</v>
      </c>
      <c r="CJ1293">
        <v>1</v>
      </c>
      <c r="CK1293">
        <v>21</v>
      </c>
      <c r="CL1293" t="s">
        <v>87</v>
      </c>
    </row>
    <row r="1294" spans="1:90" x14ac:dyDescent="0.3">
      <c r="A1294" t="s">
        <v>72</v>
      </c>
      <c r="B1294" t="s">
        <v>73</v>
      </c>
      <c r="C1294" t="s">
        <v>74</v>
      </c>
      <c r="E1294" t="str">
        <f>"080069794075"</f>
        <v>080069794075</v>
      </c>
      <c r="F1294" s="3">
        <v>46000</v>
      </c>
      <c r="G1294">
        <v>202609</v>
      </c>
      <c r="H1294" t="s">
        <v>75</v>
      </c>
      <c r="I1294" t="s">
        <v>76</v>
      </c>
      <c r="J1294" t="s">
        <v>77</v>
      </c>
      <c r="K1294" t="s">
        <v>78</v>
      </c>
      <c r="L1294" t="s">
        <v>156</v>
      </c>
      <c r="M1294" t="s">
        <v>157</v>
      </c>
      <c r="N1294" t="s">
        <v>434</v>
      </c>
      <c r="O1294" t="s">
        <v>89</v>
      </c>
      <c r="P1294" t="str">
        <f>"4170072682                    "</f>
        <v xml:space="preserve">4170072682                    </v>
      </c>
      <c r="Q1294">
        <v>0</v>
      </c>
      <c r="R1294">
        <v>0</v>
      </c>
      <c r="S1294">
        <v>0</v>
      </c>
      <c r="T1294">
        <v>0</v>
      </c>
      <c r="U1294">
        <v>0</v>
      </c>
      <c r="V1294">
        <v>0</v>
      </c>
      <c r="W1294">
        <v>0</v>
      </c>
      <c r="X1294">
        <v>0</v>
      </c>
      <c r="Y1294">
        <v>0</v>
      </c>
      <c r="Z1294">
        <v>0</v>
      </c>
      <c r="AA1294">
        <v>0</v>
      </c>
      <c r="AB1294">
        <v>0</v>
      </c>
      <c r="AC1294">
        <v>0</v>
      </c>
      <c r="AD1294">
        <v>0</v>
      </c>
      <c r="AE1294">
        <v>0</v>
      </c>
      <c r="AF1294">
        <v>0</v>
      </c>
      <c r="AG1294">
        <v>0</v>
      </c>
      <c r="AH1294">
        <v>0</v>
      </c>
      <c r="AI1294">
        <v>0</v>
      </c>
      <c r="AJ1294">
        <v>0</v>
      </c>
      <c r="AK1294">
        <v>0</v>
      </c>
      <c r="AL1294">
        <v>0</v>
      </c>
      <c r="AM1294">
        <v>0</v>
      </c>
      <c r="AN1294">
        <v>0</v>
      </c>
      <c r="AO1294">
        <v>0</v>
      </c>
      <c r="AP1294">
        <v>0</v>
      </c>
      <c r="AQ1294">
        <v>25.52</v>
      </c>
      <c r="AR1294">
        <v>0</v>
      </c>
      <c r="AS1294">
        <v>0</v>
      </c>
      <c r="AT1294">
        <v>0</v>
      </c>
      <c r="AU1294">
        <v>0</v>
      </c>
      <c r="AV1294">
        <v>0</v>
      </c>
      <c r="AW1294">
        <v>0</v>
      </c>
      <c r="AX1294">
        <v>0</v>
      </c>
      <c r="AY1294">
        <v>0</v>
      </c>
      <c r="AZ1294">
        <v>0</v>
      </c>
      <c r="BA1294">
        <v>0</v>
      </c>
      <c r="BB1294">
        <v>0</v>
      </c>
      <c r="BC1294">
        <v>0</v>
      </c>
      <c r="BD1294">
        <v>0</v>
      </c>
      <c r="BE1294">
        <v>0</v>
      </c>
      <c r="BF1294">
        <v>0</v>
      </c>
      <c r="BG1294">
        <v>0</v>
      </c>
      <c r="BH1294">
        <v>1</v>
      </c>
      <c r="BI1294">
        <v>1</v>
      </c>
      <c r="BJ1294">
        <v>0.2</v>
      </c>
      <c r="BK1294">
        <v>1</v>
      </c>
      <c r="BL1294">
        <v>76.06</v>
      </c>
      <c r="BM1294">
        <v>11.41</v>
      </c>
      <c r="BN1294">
        <v>87.47</v>
      </c>
      <c r="BO1294">
        <v>87.47</v>
      </c>
      <c r="BQ1294" t="s">
        <v>435</v>
      </c>
      <c r="BR1294" t="s">
        <v>82</v>
      </c>
      <c r="BS1294" s="3">
        <v>46001</v>
      </c>
      <c r="BT1294" s="4">
        <v>0.3840277777777778</v>
      </c>
      <c r="BU1294" t="s">
        <v>1577</v>
      </c>
      <c r="BV1294" t="s">
        <v>84</v>
      </c>
      <c r="BY1294">
        <v>1200</v>
      </c>
      <c r="CA1294" t="s">
        <v>264</v>
      </c>
      <c r="CC1294" t="s">
        <v>157</v>
      </c>
      <c r="CD1294">
        <v>7441</v>
      </c>
      <c r="CE1294" t="s">
        <v>134</v>
      </c>
      <c r="CF1294" s="3">
        <v>46002</v>
      </c>
      <c r="CI1294">
        <v>1</v>
      </c>
      <c r="CJ1294">
        <v>1</v>
      </c>
      <c r="CK1294">
        <v>21</v>
      </c>
      <c r="CL1294" t="s">
        <v>87</v>
      </c>
    </row>
    <row r="1295" spans="1:90" x14ac:dyDescent="0.3">
      <c r="A1295" t="s">
        <v>72</v>
      </c>
      <c r="B1295" t="s">
        <v>73</v>
      </c>
      <c r="C1295" t="s">
        <v>74</v>
      </c>
      <c r="E1295" t="str">
        <f>"080069794090"</f>
        <v>080069794090</v>
      </c>
      <c r="F1295" s="3">
        <v>46000</v>
      </c>
      <c r="G1295">
        <v>202609</v>
      </c>
      <c r="H1295" t="s">
        <v>75</v>
      </c>
      <c r="I1295" t="s">
        <v>76</v>
      </c>
      <c r="J1295" t="s">
        <v>77</v>
      </c>
      <c r="K1295" t="s">
        <v>78</v>
      </c>
      <c r="L1295" t="s">
        <v>302</v>
      </c>
      <c r="M1295" t="s">
        <v>303</v>
      </c>
      <c r="N1295" t="s">
        <v>795</v>
      </c>
      <c r="O1295" t="s">
        <v>80</v>
      </c>
      <c r="P1295" t="str">
        <f>"4170072690                    "</f>
        <v xml:space="preserve">4170072690                    </v>
      </c>
      <c r="Q1295">
        <v>0</v>
      </c>
      <c r="R1295">
        <v>0</v>
      </c>
      <c r="S1295">
        <v>0</v>
      </c>
      <c r="T1295">
        <v>0</v>
      </c>
      <c r="U1295">
        <v>0</v>
      </c>
      <c r="V1295">
        <v>0</v>
      </c>
      <c r="W1295">
        <v>0</v>
      </c>
      <c r="X1295">
        <v>0</v>
      </c>
      <c r="Y1295">
        <v>0</v>
      </c>
      <c r="Z1295">
        <v>0</v>
      </c>
      <c r="AA1295">
        <v>0</v>
      </c>
      <c r="AB1295">
        <v>0</v>
      </c>
      <c r="AC1295">
        <v>0</v>
      </c>
      <c r="AD1295">
        <v>0</v>
      </c>
      <c r="AE1295">
        <v>0</v>
      </c>
      <c r="AF1295">
        <v>0</v>
      </c>
      <c r="AG1295">
        <v>0</v>
      </c>
      <c r="AH1295">
        <v>0</v>
      </c>
      <c r="AI1295">
        <v>0</v>
      </c>
      <c r="AJ1295">
        <v>0</v>
      </c>
      <c r="AK1295">
        <v>0</v>
      </c>
      <c r="AL1295">
        <v>0</v>
      </c>
      <c r="AM1295">
        <v>0</v>
      </c>
      <c r="AN1295">
        <v>0</v>
      </c>
      <c r="AO1295">
        <v>0</v>
      </c>
      <c r="AP1295">
        <v>0</v>
      </c>
      <c r="AQ1295">
        <v>49.36</v>
      </c>
      <c r="AR1295">
        <v>0</v>
      </c>
      <c r="AS1295">
        <v>0</v>
      </c>
      <c r="AT1295">
        <v>0</v>
      </c>
      <c r="AU1295">
        <v>0</v>
      </c>
      <c r="AV1295">
        <v>0</v>
      </c>
      <c r="AW1295">
        <v>0</v>
      </c>
      <c r="AX1295">
        <v>0</v>
      </c>
      <c r="AY1295">
        <v>0</v>
      </c>
      <c r="AZ1295">
        <v>0</v>
      </c>
      <c r="BA1295">
        <v>0</v>
      </c>
      <c r="BB1295">
        <v>0</v>
      </c>
      <c r="BC1295">
        <v>0</v>
      </c>
      <c r="BD1295">
        <v>0</v>
      </c>
      <c r="BE1295">
        <v>0</v>
      </c>
      <c r="BF1295">
        <v>0</v>
      </c>
      <c r="BG1295">
        <v>0</v>
      </c>
      <c r="BH1295">
        <v>1</v>
      </c>
      <c r="BI1295">
        <v>2</v>
      </c>
      <c r="BJ1295">
        <v>4.4000000000000004</v>
      </c>
      <c r="BK1295">
        <v>5</v>
      </c>
      <c r="BL1295">
        <v>153.19999999999999</v>
      </c>
      <c r="BM1295">
        <v>22.98</v>
      </c>
      <c r="BN1295">
        <v>176.18</v>
      </c>
      <c r="BO1295">
        <v>176.18</v>
      </c>
      <c r="BQ1295" t="s">
        <v>796</v>
      </c>
      <c r="BR1295" t="s">
        <v>82</v>
      </c>
      <c r="BS1295" s="3">
        <v>46001</v>
      </c>
      <c r="BT1295" s="4">
        <v>0.50555555555555554</v>
      </c>
      <c r="BU1295" t="s">
        <v>1711</v>
      </c>
      <c r="BV1295" t="s">
        <v>84</v>
      </c>
      <c r="BY1295">
        <v>21760</v>
      </c>
      <c r="CA1295">
        <v>9107126013089</v>
      </c>
      <c r="CC1295" t="s">
        <v>303</v>
      </c>
      <c r="CD1295" s="5" t="s">
        <v>664</v>
      </c>
      <c r="CE1295" t="s">
        <v>93</v>
      </c>
      <c r="CI1295">
        <v>1</v>
      </c>
      <c r="CJ1295">
        <v>1</v>
      </c>
      <c r="CK1295">
        <v>41</v>
      </c>
      <c r="CL1295" t="s">
        <v>87</v>
      </c>
    </row>
    <row r="1296" spans="1:90" x14ac:dyDescent="0.3">
      <c r="A1296" t="s">
        <v>72</v>
      </c>
      <c r="B1296" t="s">
        <v>73</v>
      </c>
      <c r="C1296" t="s">
        <v>74</v>
      </c>
      <c r="E1296" t="str">
        <f>"080069794129"</f>
        <v>080069794129</v>
      </c>
      <c r="F1296" s="3">
        <v>46000</v>
      </c>
      <c r="G1296">
        <v>202609</v>
      </c>
      <c r="H1296" t="s">
        <v>75</v>
      </c>
      <c r="I1296" t="s">
        <v>76</v>
      </c>
      <c r="J1296" t="s">
        <v>77</v>
      </c>
      <c r="K1296" t="s">
        <v>78</v>
      </c>
      <c r="L1296" t="s">
        <v>156</v>
      </c>
      <c r="M1296" t="s">
        <v>157</v>
      </c>
      <c r="N1296" t="s">
        <v>1101</v>
      </c>
      <c r="O1296" t="s">
        <v>89</v>
      </c>
      <c r="P1296" t="str">
        <f>"4170072756                    "</f>
        <v xml:space="preserve">4170072756                    </v>
      </c>
      <c r="Q1296">
        <v>0</v>
      </c>
      <c r="R1296">
        <v>0</v>
      </c>
      <c r="S1296">
        <v>0</v>
      </c>
      <c r="T1296">
        <v>0</v>
      </c>
      <c r="U1296">
        <v>0</v>
      </c>
      <c r="V1296">
        <v>0</v>
      </c>
      <c r="W1296">
        <v>0</v>
      </c>
      <c r="X1296">
        <v>0</v>
      </c>
      <c r="Y1296">
        <v>0</v>
      </c>
      <c r="Z1296">
        <v>0</v>
      </c>
      <c r="AA1296">
        <v>0</v>
      </c>
      <c r="AB1296">
        <v>0</v>
      </c>
      <c r="AC1296">
        <v>0</v>
      </c>
      <c r="AD1296">
        <v>0</v>
      </c>
      <c r="AE1296">
        <v>0</v>
      </c>
      <c r="AF1296">
        <v>0</v>
      </c>
      <c r="AG1296">
        <v>0</v>
      </c>
      <c r="AH1296">
        <v>0</v>
      </c>
      <c r="AI1296">
        <v>0</v>
      </c>
      <c r="AJ1296">
        <v>0</v>
      </c>
      <c r="AK1296">
        <v>0</v>
      </c>
      <c r="AL1296">
        <v>0</v>
      </c>
      <c r="AM1296">
        <v>0</v>
      </c>
      <c r="AN1296">
        <v>0</v>
      </c>
      <c r="AO1296">
        <v>0</v>
      </c>
      <c r="AP1296">
        <v>0</v>
      </c>
      <c r="AQ1296">
        <v>25.52</v>
      </c>
      <c r="AR1296">
        <v>0</v>
      </c>
      <c r="AS1296">
        <v>0</v>
      </c>
      <c r="AT1296">
        <v>0</v>
      </c>
      <c r="AU1296">
        <v>0</v>
      </c>
      <c r="AV1296">
        <v>0</v>
      </c>
      <c r="AW1296">
        <v>0</v>
      </c>
      <c r="AX1296">
        <v>0</v>
      </c>
      <c r="AY1296">
        <v>0</v>
      </c>
      <c r="AZ1296">
        <v>0</v>
      </c>
      <c r="BA1296">
        <v>0</v>
      </c>
      <c r="BB1296">
        <v>0</v>
      </c>
      <c r="BC1296">
        <v>0</v>
      </c>
      <c r="BD1296">
        <v>0</v>
      </c>
      <c r="BE1296">
        <v>0</v>
      </c>
      <c r="BF1296">
        <v>0</v>
      </c>
      <c r="BG1296">
        <v>0</v>
      </c>
      <c r="BH1296">
        <v>1</v>
      </c>
      <c r="BI1296">
        <v>1</v>
      </c>
      <c r="BJ1296">
        <v>0.6</v>
      </c>
      <c r="BK1296">
        <v>1</v>
      </c>
      <c r="BL1296">
        <v>76.06</v>
      </c>
      <c r="BM1296">
        <v>11.41</v>
      </c>
      <c r="BN1296">
        <v>87.47</v>
      </c>
      <c r="BO1296">
        <v>87.47</v>
      </c>
      <c r="BQ1296" t="s">
        <v>1102</v>
      </c>
      <c r="BR1296" t="s">
        <v>82</v>
      </c>
      <c r="BS1296" s="3">
        <v>46001</v>
      </c>
      <c r="BT1296" s="4">
        <v>0.41666666666666669</v>
      </c>
      <c r="BU1296" t="s">
        <v>1103</v>
      </c>
      <c r="BV1296" t="s">
        <v>84</v>
      </c>
      <c r="BY1296">
        <v>3000</v>
      </c>
      <c r="CA1296" t="s">
        <v>1104</v>
      </c>
      <c r="CC1296" t="s">
        <v>157</v>
      </c>
      <c r="CD1296">
        <v>8000</v>
      </c>
      <c r="CE1296" t="s">
        <v>134</v>
      </c>
      <c r="CF1296" s="3">
        <v>46002</v>
      </c>
      <c r="CI1296">
        <v>1</v>
      </c>
      <c r="CJ1296">
        <v>1</v>
      </c>
      <c r="CK1296">
        <v>21</v>
      </c>
      <c r="CL1296" t="s">
        <v>87</v>
      </c>
    </row>
    <row r="1297" spans="1:90" x14ac:dyDescent="0.3">
      <c r="A1297" t="s">
        <v>72</v>
      </c>
      <c r="B1297" t="s">
        <v>73</v>
      </c>
      <c r="C1297" t="s">
        <v>74</v>
      </c>
      <c r="E1297" t="str">
        <f>"080069794142"</f>
        <v>080069794142</v>
      </c>
      <c r="F1297" s="3">
        <v>46000</v>
      </c>
      <c r="G1297">
        <v>202609</v>
      </c>
      <c r="H1297" t="s">
        <v>75</v>
      </c>
      <c r="I1297" t="s">
        <v>76</v>
      </c>
      <c r="J1297" t="s">
        <v>77</v>
      </c>
      <c r="K1297" t="s">
        <v>78</v>
      </c>
      <c r="L1297" t="s">
        <v>176</v>
      </c>
      <c r="M1297" t="s">
        <v>177</v>
      </c>
      <c r="N1297" t="s">
        <v>178</v>
      </c>
      <c r="O1297" t="s">
        <v>89</v>
      </c>
      <c r="P1297" t="str">
        <f>"4170072689                    "</f>
        <v xml:space="preserve">4170072689                    </v>
      </c>
      <c r="Q1297">
        <v>0</v>
      </c>
      <c r="R1297">
        <v>0</v>
      </c>
      <c r="S1297">
        <v>0</v>
      </c>
      <c r="T1297">
        <v>0</v>
      </c>
      <c r="U1297">
        <v>0</v>
      </c>
      <c r="V1297">
        <v>0</v>
      </c>
      <c r="W1297">
        <v>0</v>
      </c>
      <c r="X1297">
        <v>0</v>
      </c>
      <c r="Y1297">
        <v>0</v>
      </c>
      <c r="Z1297">
        <v>0</v>
      </c>
      <c r="AA1297">
        <v>0</v>
      </c>
      <c r="AB1297">
        <v>0</v>
      </c>
      <c r="AC1297">
        <v>0</v>
      </c>
      <c r="AD1297">
        <v>0</v>
      </c>
      <c r="AE1297">
        <v>0</v>
      </c>
      <c r="AF1297">
        <v>0</v>
      </c>
      <c r="AG1297">
        <v>0</v>
      </c>
      <c r="AH1297">
        <v>0</v>
      </c>
      <c r="AI1297">
        <v>0</v>
      </c>
      <c r="AJ1297">
        <v>0</v>
      </c>
      <c r="AK1297">
        <v>0</v>
      </c>
      <c r="AL1297">
        <v>0</v>
      </c>
      <c r="AM1297">
        <v>0</v>
      </c>
      <c r="AN1297">
        <v>0</v>
      </c>
      <c r="AO1297">
        <v>0</v>
      </c>
      <c r="AP1297">
        <v>0</v>
      </c>
      <c r="AQ1297">
        <v>19.940000000000001</v>
      </c>
      <c r="AR1297">
        <v>0</v>
      </c>
      <c r="AS1297">
        <v>0</v>
      </c>
      <c r="AT1297">
        <v>0</v>
      </c>
      <c r="AU1297">
        <v>0</v>
      </c>
      <c r="AV1297">
        <v>0</v>
      </c>
      <c r="AW1297">
        <v>0</v>
      </c>
      <c r="AX1297">
        <v>0</v>
      </c>
      <c r="AY1297">
        <v>0</v>
      </c>
      <c r="AZ1297">
        <v>0</v>
      </c>
      <c r="BA1297">
        <v>0</v>
      </c>
      <c r="BB1297">
        <v>0</v>
      </c>
      <c r="BC1297">
        <v>0</v>
      </c>
      <c r="BD1297">
        <v>0</v>
      </c>
      <c r="BE1297">
        <v>0</v>
      </c>
      <c r="BF1297">
        <v>0</v>
      </c>
      <c r="BG1297">
        <v>0</v>
      </c>
      <c r="BH1297">
        <v>1</v>
      </c>
      <c r="BI1297">
        <v>1</v>
      </c>
      <c r="BJ1297">
        <v>1.5</v>
      </c>
      <c r="BK1297">
        <v>2</v>
      </c>
      <c r="BL1297">
        <v>59.42</v>
      </c>
      <c r="BM1297">
        <v>8.91</v>
      </c>
      <c r="BN1297">
        <v>68.33</v>
      </c>
      <c r="BO1297">
        <v>68.33</v>
      </c>
      <c r="BQ1297" t="s">
        <v>179</v>
      </c>
      <c r="BR1297" t="s">
        <v>82</v>
      </c>
      <c r="BS1297" s="3">
        <v>46001</v>
      </c>
      <c r="BT1297" s="4">
        <v>0.37916666666666665</v>
      </c>
      <c r="BU1297" t="s">
        <v>1433</v>
      </c>
      <c r="BV1297" t="s">
        <v>84</v>
      </c>
      <c r="BY1297">
        <v>7540</v>
      </c>
      <c r="CA1297" t="s">
        <v>182</v>
      </c>
      <c r="CC1297" t="s">
        <v>177</v>
      </c>
      <c r="CD1297">
        <v>2094</v>
      </c>
      <c r="CE1297" t="s">
        <v>86</v>
      </c>
      <c r="CF1297" s="3">
        <v>46002</v>
      </c>
      <c r="CI1297">
        <v>1</v>
      </c>
      <c r="CJ1297">
        <v>1</v>
      </c>
      <c r="CK1297">
        <v>22</v>
      </c>
      <c r="CL1297" t="s">
        <v>87</v>
      </c>
    </row>
    <row r="1298" spans="1:90" x14ac:dyDescent="0.3">
      <c r="A1298" t="s">
        <v>72</v>
      </c>
      <c r="B1298" t="s">
        <v>73</v>
      </c>
      <c r="C1298" t="s">
        <v>74</v>
      </c>
      <c r="E1298" t="str">
        <f>"080069794157"</f>
        <v>080069794157</v>
      </c>
      <c r="F1298" s="3">
        <v>46000</v>
      </c>
      <c r="G1298">
        <v>202609</v>
      </c>
      <c r="H1298" t="s">
        <v>75</v>
      </c>
      <c r="I1298" t="s">
        <v>76</v>
      </c>
      <c r="J1298" t="s">
        <v>77</v>
      </c>
      <c r="K1298" t="s">
        <v>78</v>
      </c>
      <c r="L1298" t="s">
        <v>94</v>
      </c>
      <c r="M1298" t="s">
        <v>95</v>
      </c>
      <c r="N1298" t="s">
        <v>1188</v>
      </c>
      <c r="O1298" t="s">
        <v>89</v>
      </c>
      <c r="P1298" t="str">
        <f>"4170072729                    "</f>
        <v xml:space="preserve">4170072729                    </v>
      </c>
      <c r="Q1298">
        <v>0</v>
      </c>
      <c r="R1298">
        <v>0</v>
      </c>
      <c r="S1298">
        <v>0</v>
      </c>
      <c r="T1298">
        <v>0</v>
      </c>
      <c r="U1298">
        <v>0</v>
      </c>
      <c r="V1298">
        <v>0</v>
      </c>
      <c r="W1298">
        <v>0</v>
      </c>
      <c r="X1298">
        <v>0</v>
      </c>
      <c r="Y1298">
        <v>0</v>
      </c>
      <c r="Z1298">
        <v>0</v>
      </c>
      <c r="AA1298">
        <v>0</v>
      </c>
      <c r="AB1298">
        <v>0</v>
      </c>
      <c r="AC1298">
        <v>0</v>
      </c>
      <c r="AD1298">
        <v>0</v>
      </c>
      <c r="AE1298">
        <v>0</v>
      </c>
      <c r="AF1298">
        <v>0</v>
      </c>
      <c r="AG1298">
        <v>0</v>
      </c>
      <c r="AH1298">
        <v>0</v>
      </c>
      <c r="AI1298">
        <v>0</v>
      </c>
      <c r="AJ1298">
        <v>0</v>
      </c>
      <c r="AK1298">
        <v>0</v>
      </c>
      <c r="AL1298">
        <v>0</v>
      </c>
      <c r="AM1298">
        <v>0</v>
      </c>
      <c r="AN1298">
        <v>0</v>
      </c>
      <c r="AO1298">
        <v>0</v>
      </c>
      <c r="AP1298">
        <v>0</v>
      </c>
      <c r="AQ1298">
        <v>89.3</v>
      </c>
      <c r="AR1298">
        <v>0</v>
      </c>
      <c r="AS1298">
        <v>0</v>
      </c>
      <c r="AT1298">
        <v>0</v>
      </c>
      <c r="AU1298">
        <v>0</v>
      </c>
      <c r="AV1298">
        <v>0</v>
      </c>
      <c r="AW1298">
        <v>0</v>
      </c>
      <c r="AX1298">
        <v>0</v>
      </c>
      <c r="AY1298">
        <v>0</v>
      </c>
      <c r="AZ1298">
        <v>0</v>
      </c>
      <c r="BA1298">
        <v>0</v>
      </c>
      <c r="BB1298">
        <v>0</v>
      </c>
      <c r="BC1298">
        <v>0</v>
      </c>
      <c r="BD1298">
        <v>0</v>
      </c>
      <c r="BE1298">
        <v>0</v>
      </c>
      <c r="BF1298">
        <v>0</v>
      </c>
      <c r="BG1298">
        <v>0</v>
      </c>
      <c r="BH1298">
        <v>1</v>
      </c>
      <c r="BI1298">
        <v>7</v>
      </c>
      <c r="BJ1298">
        <v>4.0999999999999996</v>
      </c>
      <c r="BK1298">
        <v>7</v>
      </c>
      <c r="BL1298">
        <v>266.14</v>
      </c>
      <c r="BM1298">
        <v>39.92</v>
      </c>
      <c r="BN1298">
        <v>306.06</v>
      </c>
      <c r="BO1298">
        <v>306.06</v>
      </c>
      <c r="BQ1298" t="s">
        <v>1189</v>
      </c>
      <c r="BR1298" t="s">
        <v>82</v>
      </c>
      <c r="BS1298" s="3">
        <v>46001</v>
      </c>
      <c r="BT1298" s="4">
        <v>0.43611111111111112</v>
      </c>
      <c r="BU1298" t="s">
        <v>2011</v>
      </c>
      <c r="BV1298" t="s">
        <v>84</v>
      </c>
      <c r="BY1298">
        <v>20358</v>
      </c>
      <c r="CA1298" t="s">
        <v>929</v>
      </c>
      <c r="CC1298" t="s">
        <v>95</v>
      </c>
      <c r="CD1298">
        <v>3610</v>
      </c>
      <c r="CE1298" t="s">
        <v>86</v>
      </c>
      <c r="CF1298" s="3">
        <v>46001</v>
      </c>
      <c r="CI1298">
        <v>1</v>
      </c>
      <c r="CJ1298">
        <v>1</v>
      </c>
      <c r="CK1298">
        <v>21</v>
      </c>
      <c r="CL1298" t="s">
        <v>87</v>
      </c>
    </row>
    <row r="1299" spans="1:90" x14ac:dyDescent="0.3">
      <c r="A1299" t="s">
        <v>72</v>
      </c>
      <c r="B1299" t="s">
        <v>73</v>
      </c>
      <c r="C1299" t="s">
        <v>74</v>
      </c>
      <c r="E1299" t="str">
        <f>"080069794160"</f>
        <v>080069794160</v>
      </c>
      <c r="F1299" s="3">
        <v>46000</v>
      </c>
      <c r="G1299">
        <v>202609</v>
      </c>
      <c r="H1299" t="s">
        <v>75</v>
      </c>
      <c r="I1299" t="s">
        <v>76</v>
      </c>
      <c r="J1299" t="s">
        <v>77</v>
      </c>
      <c r="K1299" t="s">
        <v>78</v>
      </c>
      <c r="L1299" t="s">
        <v>141</v>
      </c>
      <c r="M1299" t="s">
        <v>142</v>
      </c>
      <c r="N1299" t="s">
        <v>587</v>
      </c>
      <c r="O1299" t="s">
        <v>80</v>
      </c>
      <c r="P1299" t="str">
        <f>"4170072654                    "</f>
        <v xml:space="preserve">4170072654                    </v>
      </c>
      <c r="Q1299">
        <v>0</v>
      </c>
      <c r="R1299">
        <v>0</v>
      </c>
      <c r="S1299">
        <v>0</v>
      </c>
      <c r="T1299">
        <v>0</v>
      </c>
      <c r="U1299">
        <v>0</v>
      </c>
      <c r="V1299">
        <v>0</v>
      </c>
      <c r="W1299">
        <v>0</v>
      </c>
      <c r="X1299">
        <v>0</v>
      </c>
      <c r="Y1299">
        <v>0</v>
      </c>
      <c r="Z1299">
        <v>0</v>
      </c>
      <c r="AA1299">
        <v>0</v>
      </c>
      <c r="AB1299">
        <v>0</v>
      </c>
      <c r="AC1299">
        <v>0</v>
      </c>
      <c r="AD1299">
        <v>0</v>
      </c>
      <c r="AE1299">
        <v>0</v>
      </c>
      <c r="AF1299">
        <v>0</v>
      </c>
      <c r="AG1299">
        <v>0</v>
      </c>
      <c r="AH1299">
        <v>0</v>
      </c>
      <c r="AI1299">
        <v>0</v>
      </c>
      <c r="AJ1299">
        <v>0</v>
      </c>
      <c r="AK1299">
        <v>0</v>
      </c>
      <c r="AL1299">
        <v>0</v>
      </c>
      <c r="AM1299">
        <v>0</v>
      </c>
      <c r="AN1299">
        <v>0</v>
      </c>
      <c r="AO1299">
        <v>0</v>
      </c>
      <c r="AP1299">
        <v>0</v>
      </c>
      <c r="AQ1299">
        <v>55.48</v>
      </c>
      <c r="AR1299">
        <v>0</v>
      </c>
      <c r="AS1299">
        <v>0</v>
      </c>
      <c r="AT1299">
        <v>0</v>
      </c>
      <c r="AU1299">
        <v>0</v>
      </c>
      <c r="AV1299">
        <v>0</v>
      </c>
      <c r="AW1299">
        <v>0</v>
      </c>
      <c r="AX1299">
        <v>0</v>
      </c>
      <c r="AY1299">
        <v>0</v>
      </c>
      <c r="AZ1299">
        <v>0</v>
      </c>
      <c r="BA1299">
        <v>0</v>
      </c>
      <c r="BB1299">
        <v>0</v>
      </c>
      <c r="BC1299">
        <v>0</v>
      </c>
      <c r="BD1299">
        <v>0</v>
      </c>
      <c r="BE1299">
        <v>0</v>
      </c>
      <c r="BF1299">
        <v>0</v>
      </c>
      <c r="BG1299">
        <v>0</v>
      </c>
      <c r="BH1299">
        <v>1</v>
      </c>
      <c r="BI1299">
        <v>5</v>
      </c>
      <c r="BJ1299">
        <v>17.7</v>
      </c>
      <c r="BK1299">
        <v>18</v>
      </c>
      <c r="BL1299">
        <v>171.44</v>
      </c>
      <c r="BM1299">
        <v>25.72</v>
      </c>
      <c r="BN1299">
        <v>197.16</v>
      </c>
      <c r="BO1299">
        <v>197.16</v>
      </c>
      <c r="BQ1299" t="s">
        <v>588</v>
      </c>
      <c r="BR1299" t="s">
        <v>82</v>
      </c>
      <c r="BS1299" s="3">
        <v>46002</v>
      </c>
      <c r="BT1299" s="4">
        <v>0.4201388888888889</v>
      </c>
      <c r="BU1299" t="s">
        <v>589</v>
      </c>
      <c r="BV1299" t="s">
        <v>84</v>
      </c>
      <c r="BY1299">
        <v>88320</v>
      </c>
      <c r="CA1299" t="s">
        <v>571</v>
      </c>
      <c r="CC1299" t="s">
        <v>142</v>
      </c>
      <c r="CD1299">
        <v>6001</v>
      </c>
      <c r="CE1299" t="s">
        <v>86</v>
      </c>
      <c r="CF1299" s="3">
        <v>46002</v>
      </c>
      <c r="CI1299">
        <v>3</v>
      </c>
      <c r="CJ1299">
        <v>2</v>
      </c>
      <c r="CK1299">
        <v>41</v>
      </c>
      <c r="CL1299" t="s">
        <v>87</v>
      </c>
    </row>
    <row r="1300" spans="1:90" x14ac:dyDescent="0.3">
      <c r="A1300" t="s">
        <v>72</v>
      </c>
      <c r="B1300" t="s">
        <v>73</v>
      </c>
      <c r="C1300" t="s">
        <v>74</v>
      </c>
      <c r="E1300" t="str">
        <f>"080069794193"</f>
        <v>080069794193</v>
      </c>
      <c r="F1300" s="3">
        <v>46000</v>
      </c>
      <c r="G1300">
        <v>202609</v>
      </c>
      <c r="H1300" t="s">
        <v>75</v>
      </c>
      <c r="I1300" t="s">
        <v>76</v>
      </c>
      <c r="J1300" t="s">
        <v>77</v>
      </c>
      <c r="K1300" t="s">
        <v>78</v>
      </c>
      <c r="L1300" t="s">
        <v>265</v>
      </c>
      <c r="M1300" t="s">
        <v>266</v>
      </c>
      <c r="N1300" t="s">
        <v>2012</v>
      </c>
      <c r="O1300" t="s">
        <v>89</v>
      </c>
      <c r="P1300" t="str">
        <f>"4170072749                    "</f>
        <v xml:space="preserve">4170072749                    </v>
      </c>
      <c r="Q1300">
        <v>0</v>
      </c>
      <c r="R1300">
        <v>0</v>
      </c>
      <c r="S1300">
        <v>0</v>
      </c>
      <c r="T1300">
        <v>0</v>
      </c>
      <c r="U1300">
        <v>0</v>
      </c>
      <c r="V1300">
        <v>0</v>
      </c>
      <c r="W1300">
        <v>0</v>
      </c>
      <c r="X1300">
        <v>0</v>
      </c>
      <c r="Y1300">
        <v>0</v>
      </c>
      <c r="Z1300">
        <v>0</v>
      </c>
      <c r="AA1300">
        <v>0</v>
      </c>
      <c r="AB1300">
        <v>0</v>
      </c>
      <c r="AC1300">
        <v>0</v>
      </c>
      <c r="AD1300">
        <v>0</v>
      </c>
      <c r="AE1300">
        <v>0</v>
      </c>
      <c r="AF1300">
        <v>0</v>
      </c>
      <c r="AG1300">
        <v>0</v>
      </c>
      <c r="AH1300">
        <v>0</v>
      </c>
      <c r="AI1300">
        <v>0</v>
      </c>
      <c r="AJ1300">
        <v>0</v>
      </c>
      <c r="AK1300">
        <v>0</v>
      </c>
      <c r="AL1300">
        <v>0</v>
      </c>
      <c r="AM1300">
        <v>0</v>
      </c>
      <c r="AN1300">
        <v>0</v>
      </c>
      <c r="AO1300">
        <v>0</v>
      </c>
      <c r="AP1300">
        <v>0</v>
      </c>
      <c r="AQ1300">
        <v>19.940000000000001</v>
      </c>
      <c r="AR1300">
        <v>0</v>
      </c>
      <c r="AS1300">
        <v>0</v>
      </c>
      <c r="AT1300">
        <v>0</v>
      </c>
      <c r="AU1300">
        <v>0</v>
      </c>
      <c r="AV1300">
        <v>0</v>
      </c>
      <c r="AW1300">
        <v>0</v>
      </c>
      <c r="AX1300">
        <v>0</v>
      </c>
      <c r="AY1300">
        <v>0</v>
      </c>
      <c r="AZ1300">
        <v>0</v>
      </c>
      <c r="BA1300">
        <v>0</v>
      </c>
      <c r="BB1300">
        <v>0</v>
      </c>
      <c r="BC1300">
        <v>0</v>
      </c>
      <c r="BD1300">
        <v>0</v>
      </c>
      <c r="BE1300">
        <v>0</v>
      </c>
      <c r="BF1300">
        <v>0</v>
      </c>
      <c r="BG1300">
        <v>0</v>
      </c>
      <c r="BH1300">
        <v>1</v>
      </c>
      <c r="BI1300">
        <v>1</v>
      </c>
      <c r="BJ1300">
        <v>0.2</v>
      </c>
      <c r="BK1300">
        <v>1</v>
      </c>
      <c r="BL1300">
        <v>59.42</v>
      </c>
      <c r="BM1300">
        <v>8.91</v>
      </c>
      <c r="BN1300">
        <v>68.33</v>
      </c>
      <c r="BO1300">
        <v>68.33</v>
      </c>
      <c r="BQ1300" t="s">
        <v>2013</v>
      </c>
      <c r="BR1300" t="s">
        <v>82</v>
      </c>
      <c r="BS1300" s="3">
        <v>46001</v>
      </c>
      <c r="BT1300" s="4">
        <v>0.39097222222222222</v>
      </c>
      <c r="BU1300" t="s">
        <v>2014</v>
      </c>
      <c r="BV1300" t="s">
        <v>84</v>
      </c>
      <c r="BY1300">
        <v>1200</v>
      </c>
      <c r="CA1300" t="s">
        <v>417</v>
      </c>
      <c r="CC1300" t="s">
        <v>266</v>
      </c>
      <c r="CD1300">
        <v>1459</v>
      </c>
      <c r="CE1300" t="s">
        <v>134</v>
      </c>
      <c r="CF1300" s="3">
        <v>46001</v>
      </c>
      <c r="CI1300">
        <v>1</v>
      </c>
      <c r="CJ1300">
        <v>1</v>
      </c>
      <c r="CK1300">
        <v>22</v>
      </c>
      <c r="CL1300" t="s">
        <v>87</v>
      </c>
    </row>
    <row r="1301" spans="1:90" x14ac:dyDescent="0.3">
      <c r="A1301" t="s">
        <v>72</v>
      </c>
      <c r="B1301" t="s">
        <v>73</v>
      </c>
      <c r="C1301" t="s">
        <v>74</v>
      </c>
      <c r="E1301" t="str">
        <f>"080069794210"</f>
        <v>080069794210</v>
      </c>
      <c r="F1301" s="3">
        <v>46000</v>
      </c>
      <c r="G1301">
        <v>202609</v>
      </c>
      <c r="H1301" t="s">
        <v>75</v>
      </c>
      <c r="I1301" t="s">
        <v>76</v>
      </c>
      <c r="J1301" t="s">
        <v>77</v>
      </c>
      <c r="K1301" t="s">
        <v>78</v>
      </c>
      <c r="L1301" t="s">
        <v>94</v>
      </c>
      <c r="M1301" t="s">
        <v>95</v>
      </c>
      <c r="N1301" t="s">
        <v>2015</v>
      </c>
      <c r="O1301" t="s">
        <v>80</v>
      </c>
      <c r="P1301" t="str">
        <f>"4170072709                    "</f>
        <v xml:space="preserve">4170072709                    </v>
      </c>
      <c r="Q1301">
        <v>0</v>
      </c>
      <c r="R1301">
        <v>0</v>
      </c>
      <c r="S1301">
        <v>0</v>
      </c>
      <c r="T1301">
        <v>0</v>
      </c>
      <c r="U1301">
        <v>0</v>
      </c>
      <c r="V1301">
        <v>0</v>
      </c>
      <c r="W1301">
        <v>0</v>
      </c>
      <c r="X1301">
        <v>0</v>
      </c>
      <c r="Y1301">
        <v>0</v>
      </c>
      <c r="Z1301">
        <v>0</v>
      </c>
      <c r="AA1301">
        <v>0</v>
      </c>
      <c r="AB1301">
        <v>0</v>
      </c>
      <c r="AC1301">
        <v>0</v>
      </c>
      <c r="AD1301">
        <v>0</v>
      </c>
      <c r="AE1301">
        <v>0</v>
      </c>
      <c r="AF1301">
        <v>0</v>
      </c>
      <c r="AG1301">
        <v>0</v>
      </c>
      <c r="AH1301">
        <v>0</v>
      </c>
      <c r="AI1301">
        <v>0</v>
      </c>
      <c r="AJ1301">
        <v>0</v>
      </c>
      <c r="AK1301">
        <v>0</v>
      </c>
      <c r="AL1301">
        <v>0</v>
      </c>
      <c r="AM1301">
        <v>0</v>
      </c>
      <c r="AN1301">
        <v>0</v>
      </c>
      <c r="AO1301">
        <v>0</v>
      </c>
      <c r="AP1301">
        <v>0</v>
      </c>
      <c r="AQ1301">
        <v>86.08</v>
      </c>
      <c r="AR1301">
        <v>0</v>
      </c>
      <c r="AS1301">
        <v>0</v>
      </c>
      <c r="AT1301">
        <v>0</v>
      </c>
      <c r="AU1301">
        <v>0</v>
      </c>
      <c r="AV1301">
        <v>0</v>
      </c>
      <c r="AW1301">
        <v>0</v>
      </c>
      <c r="AX1301">
        <v>0</v>
      </c>
      <c r="AY1301">
        <v>0</v>
      </c>
      <c r="AZ1301">
        <v>0</v>
      </c>
      <c r="BA1301">
        <v>0</v>
      </c>
      <c r="BB1301">
        <v>0</v>
      </c>
      <c r="BC1301">
        <v>0</v>
      </c>
      <c r="BD1301">
        <v>0</v>
      </c>
      <c r="BE1301">
        <v>0</v>
      </c>
      <c r="BF1301">
        <v>0</v>
      </c>
      <c r="BG1301">
        <v>0</v>
      </c>
      <c r="BH1301">
        <v>1</v>
      </c>
      <c r="BI1301">
        <v>23</v>
      </c>
      <c r="BJ1301">
        <v>32.1</v>
      </c>
      <c r="BK1301">
        <v>33</v>
      </c>
      <c r="BL1301">
        <v>262.64</v>
      </c>
      <c r="BM1301">
        <v>39.4</v>
      </c>
      <c r="BN1301">
        <v>302.04000000000002</v>
      </c>
      <c r="BO1301">
        <v>302.04000000000002</v>
      </c>
      <c r="BQ1301" t="s">
        <v>2016</v>
      </c>
      <c r="BR1301" t="s">
        <v>82</v>
      </c>
      <c r="BS1301" s="3">
        <v>46002</v>
      </c>
      <c r="BT1301" s="4">
        <v>0.41041666666666665</v>
      </c>
      <c r="BU1301" t="s">
        <v>2017</v>
      </c>
      <c r="BV1301" t="s">
        <v>84</v>
      </c>
      <c r="BY1301">
        <v>160740</v>
      </c>
      <c r="CA1301" t="s">
        <v>929</v>
      </c>
      <c r="CC1301" t="s">
        <v>95</v>
      </c>
      <c r="CD1301">
        <v>3610</v>
      </c>
      <c r="CE1301" t="s">
        <v>86</v>
      </c>
      <c r="CF1301" s="3">
        <v>46002</v>
      </c>
      <c r="CI1301">
        <v>1</v>
      </c>
      <c r="CJ1301">
        <v>2</v>
      </c>
      <c r="CK1301">
        <v>41</v>
      </c>
      <c r="CL1301" t="s">
        <v>87</v>
      </c>
    </row>
    <row r="1302" spans="1:90" x14ac:dyDescent="0.3">
      <c r="A1302" t="s">
        <v>72</v>
      </c>
      <c r="B1302" t="s">
        <v>73</v>
      </c>
      <c r="C1302" t="s">
        <v>74</v>
      </c>
      <c r="E1302" t="str">
        <f>"080069794223"</f>
        <v>080069794223</v>
      </c>
      <c r="F1302" s="3">
        <v>46000</v>
      </c>
      <c r="G1302">
        <v>202609</v>
      </c>
      <c r="H1302" t="s">
        <v>75</v>
      </c>
      <c r="I1302" t="s">
        <v>76</v>
      </c>
      <c r="J1302" t="s">
        <v>77</v>
      </c>
      <c r="K1302" t="s">
        <v>78</v>
      </c>
      <c r="L1302" t="s">
        <v>100</v>
      </c>
      <c r="M1302" t="s">
        <v>101</v>
      </c>
      <c r="N1302" t="s">
        <v>102</v>
      </c>
      <c r="O1302" t="s">
        <v>89</v>
      </c>
      <c r="P1302" t="str">
        <f>"4170072764                    "</f>
        <v xml:space="preserve">4170072764                    </v>
      </c>
      <c r="Q1302">
        <v>0</v>
      </c>
      <c r="R1302">
        <v>0</v>
      </c>
      <c r="S1302">
        <v>0</v>
      </c>
      <c r="T1302">
        <v>0</v>
      </c>
      <c r="U1302">
        <v>0</v>
      </c>
      <c r="V1302">
        <v>0</v>
      </c>
      <c r="W1302">
        <v>0</v>
      </c>
      <c r="X1302">
        <v>0</v>
      </c>
      <c r="Y1302">
        <v>0</v>
      </c>
      <c r="Z1302">
        <v>0</v>
      </c>
      <c r="AA1302">
        <v>0</v>
      </c>
      <c r="AB1302">
        <v>0</v>
      </c>
      <c r="AC1302">
        <v>0</v>
      </c>
      <c r="AD1302">
        <v>0</v>
      </c>
      <c r="AE1302">
        <v>0</v>
      </c>
      <c r="AF1302">
        <v>0</v>
      </c>
      <c r="AG1302">
        <v>0</v>
      </c>
      <c r="AH1302">
        <v>0</v>
      </c>
      <c r="AI1302">
        <v>0</v>
      </c>
      <c r="AJ1302">
        <v>0</v>
      </c>
      <c r="AK1302">
        <v>0</v>
      </c>
      <c r="AL1302">
        <v>0</v>
      </c>
      <c r="AM1302">
        <v>0</v>
      </c>
      <c r="AN1302">
        <v>0</v>
      </c>
      <c r="AO1302">
        <v>0</v>
      </c>
      <c r="AP1302">
        <v>0</v>
      </c>
      <c r="AQ1302">
        <v>25.52</v>
      </c>
      <c r="AR1302">
        <v>0</v>
      </c>
      <c r="AS1302">
        <v>0</v>
      </c>
      <c r="AT1302">
        <v>0</v>
      </c>
      <c r="AU1302">
        <v>0</v>
      </c>
      <c r="AV1302">
        <v>0</v>
      </c>
      <c r="AW1302">
        <v>0</v>
      </c>
      <c r="AX1302">
        <v>0</v>
      </c>
      <c r="AY1302">
        <v>0</v>
      </c>
      <c r="AZ1302">
        <v>0</v>
      </c>
      <c r="BA1302">
        <v>0</v>
      </c>
      <c r="BB1302">
        <v>0</v>
      </c>
      <c r="BC1302">
        <v>0</v>
      </c>
      <c r="BD1302">
        <v>0</v>
      </c>
      <c r="BE1302">
        <v>0</v>
      </c>
      <c r="BF1302">
        <v>0</v>
      </c>
      <c r="BG1302">
        <v>0</v>
      </c>
      <c r="BH1302">
        <v>1</v>
      </c>
      <c r="BI1302">
        <v>1</v>
      </c>
      <c r="BJ1302">
        <v>0.2</v>
      </c>
      <c r="BK1302">
        <v>1</v>
      </c>
      <c r="BL1302">
        <v>76.06</v>
      </c>
      <c r="BM1302">
        <v>11.41</v>
      </c>
      <c r="BN1302">
        <v>87.47</v>
      </c>
      <c r="BO1302">
        <v>87.47</v>
      </c>
      <c r="BQ1302" t="s">
        <v>103</v>
      </c>
      <c r="BR1302" t="s">
        <v>82</v>
      </c>
      <c r="BS1302" s="3">
        <v>46001</v>
      </c>
      <c r="BT1302" s="4">
        <v>0.34861111111111109</v>
      </c>
      <c r="BU1302" t="s">
        <v>2018</v>
      </c>
      <c r="BV1302" t="s">
        <v>84</v>
      </c>
      <c r="BY1302">
        <v>1200</v>
      </c>
      <c r="CA1302" t="s">
        <v>107</v>
      </c>
      <c r="CC1302" t="s">
        <v>101</v>
      </c>
      <c r="CD1302">
        <v>4000</v>
      </c>
      <c r="CE1302" t="s">
        <v>134</v>
      </c>
      <c r="CF1302" s="3">
        <v>46001</v>
      </c>
      <c r="CI1302">
        <v>1</v>
      </c>
      <c r="CJ1302">
        <v>1</v>
      </c>
      <c r="CK1302">
        <v>21</v>
      </c>
      <c r="CL1302" t="s">
        <v>87</v>
      </c>
    </row>
    <row r="1303" spans="1:90" x14ac:dyDescent="0.3">
      <c r="A1303" t="s">
        <v>72</v>
      </c>
      <c r="B1303" t="s">
        <v>73</v>
      </c>
      <c r="C1303" t="s">
        <v>74</v>
      </c>
      <c r="E1303" t="str">
        <f>"080069794250"</f>
        <v>080069794250</v>
      </c>
      <c r="F1303" s="3">
        <v>46000</v>
      </c>
      <c r="G1303">
        <v>202609</v>
      </c>
      <c r="H1303" t="s">
        <v>75</v>
      </c>
      <c r="I1303" t="s">
        <v>76</v>
      </c>
      <c r="J1303" t="s">
        <v>77</v>
      </c>
      <c r="K1303" t="s">
        <v>78</v>
      </c>
      <c r="L1303" t="s">
        <v>156</v>
      </c>
      <c r="M1303" t="s">
        <v>157</v>
      </c>
      <c r="N1303" t="s">
        <v>508</v>
      </c>
      <c r="O1303" t="s">
        <v>89</v>
      </c>
      <c r="P1303" t="str">
        <f>"4170072752                    "</f>
        <v xml:space="preserve">4170072752                    </v>
      </c>
      <c r="Q1303">
        <v>0</v>
      </c>
      <c r="R1303">
        <v>0</v>
      </c>
      <c r="S1303">
        <v>0</v>
      </c>
      <c r="T1303">
        <v>0</v>
      </c>
      <c r="U1303">
        <v>0</v>
      </c>
      <c r="V1303">
        <v>0</v>
      </c>
      <c r="W1303">
        <v>0</v>
      </c>
      <c r="X1303">
        <v>0</v>
      </c>
      <c r="Y1303">
        <v>0</v>
      </c>
      <c r="Z1303">
        <v>0</v>
      </c>
      <c r="AA1303">
        <v>0</v>
      </c>
      <c r="AB1303">
        <v>0</v>
      </c>
      <c r="AC1303">
        <v>0</v>
      </c>
      <c r="AD1303">
        <v>0</v>
      </c>
      <c r="AE1303">
        <v>0</v>
      </c>
      <c r="AF1303">
        <v>0</v>
      </c>
      <c r="AG1303">
        <v>0</v>
      </c>
      <c r="AH1303">
        <v>0</v>
      </c>
      <c r="AI1303">
        <v>0</v>
      </c>
      <c r="AJ1303">
        <v>0</v>
      </c>
      <c r="AK1303">
        <v>0</v>
      </c>
      <c r="AL1303">
        <v>0</v>
      </c>
      <c r="AM1303">
        <v>0</v>
      </c>
      <c r="AN1303">
        <v>0</v>
      </c>
      <c r="AO1303">
        <v>0</v>
      </c>
      <c r="AP1303">
        <v>0</v>
      </c>
      <c r="AQ1303">
        <v>25.52</v>
      </c>
      <c r="AR1303">
        <v>0</v>
      </c>
      <c r="AS1303">
        <v>0</v>
      </c>
      <c r="AT1303">
        <v>0</v>
      </c>
      <c r="AU1303">
        <v>0</v>
      </c>
      <c r="AV1303">
        <v>0</v>
      </c>
      <c r="AW1303">
        <v>0</v>
      </c>
      <c r="AX1303">
        <v>0</v>
      </c>
      <c r="AY1303">
        <v>0</v>
      </c>
      <c r="AZ1303">
        <v>0</v>
      </c>
      <c r="BA1303">
        <v>0</v>
      </c>
      <c r="BB1303">
        <v>0</v>
      </c>
      <c r="BC1303">
        <v>0</v>
      </c>
      <c r="BD1303">
        <v>0</v>
      </c>
      <c r="BE1303">
        <v>0</v>
      </c>
      <c r="BF1303">
        <v>0</v>
      </c>
      <c r="BG1303">
        <v>0</v>
      </c>
      <c r="BH1303">
        <v>1</v>
      </c>
      <c r="BI1303">
        <v>1</v>
      </c>
      <c r="BJ1303">
        <v>0.2</v>
      </c>
      <c r="BK1303">
        <v>1</v>
      </c>
      <c r="BL1303">
        <v>76.06</v>
      </c>
      <c r="BM1303">
        <v>11.41</v>
      </c>
      <c r="BN1303">
        <v>87.47</v>
      </c>
      <c r="BO1303">
        <v>87.47</v>
      </c>
      <c r="BQ1303" t="s">
        <v>509</v>
      </c>
      <c r="BR1303" t="s">
        <v>82</v>
      </c>
      <c r="BS1303" s="3">
        <v>46001</v>
      </c>
      <c r="BT1303" s="4">
        <v>0.4201388888888889</v>
      </c>
      <c r="BU1303" t="s">
        <v>2019</v>
      </c>
      <c r="BV1303" t="s">
        <v>84</v>
      </c>
      <c r="BY1303">
        <v>1200</v>
      </c>
      <c r="CA1303" t="s">
        <v>1217</v>
      </c>
      <c r="CC1303" t="s">
        <v>157</v>
      </c>
      <c r="CD1303">
        <v>7530</v>
      </c>
      <c r="CE1303" t="s">
        <v>134</v>
      </c>
      <c r="CF1303" s="3">
        <v>46002</v>
      </c>
      <c r="CI1303">
        <v>1</v>
      </c>
      <c r="CJ1303">
        <v>1</v>
      </c>
      <c r="CK1303">
        <v>21</v>
      </c>
      <c r="CL1303" t="s">
        <v>87</v>
      </c>
    </row>
    <row r="1304" spans="1:90" x14ac:dyDescent="0.3">
      <c r="A1304" t="s">
        <v>72</v>
      </c>
      <c r="B1304" t="s">
        <v>73</v>
      </c>
      <c r="C1304" t="s">
        <v>74</v>
      </c>
      <c r="E1304" t="str">
        <f>"080069807224"</f>
        <v>080069807224</v>
      </c>
      <c r="F1304" s="3">
        <v>46001</v>
      </c>
      <c r="G1304">
        <v>202609</v>
      </c>
      <c r="H1304" t="s">
        <v>75</v>
      </c>
      <c r="I1304" t="s">
        <v>76</v>
      </c>
      <c r="J1304" t="s">
        <v>77</v>
      </c>
      <c r="K1304" t="s">
        <v>78</v>
      </c>
      <c r="L1304" t="s">
        <v>141</v>
      </c>
      <c r="M1304" t="s">
        <v>142</v>
      </c>
      <c r="N1304" t="s">
        <v>1126</v>
      </c>
      <c r="O1304" t="s">
        <v>89</v>
      </c>
      <c r="P1304" t="str">
        <f>"4170072759                    "</f>
        <v xml:space="preserve">4170072759                    </v>
      </c>
      <c r="Q1304">
        <v>0</v>
      </c>
      <c r="R1304">
        <v>0</v>
      </c>
      <c r="S1304">
        <v>0</v>
      </c>
      <c r="T1304">
        <v>0</v>
      </c>
      <c r="U1304">
        <v>0</v>
      </c>
      <c r="V1304">
        <v>0</v>
      </c>
      <c r="W1304">
        <v>0</v>
      </c>
      <c r="X1304">
        <v>0</v>
      </c>
      <c r="Y1304">
        <v>0</v>
      </c>
      <c r="Z1304">
        <v>0</v>
      </c>
      <c r="AA1304">
        <v>0</v>
      </c>
      <c r="AB1304">
        <v>0</v>
      </c>
      <c r="AC1304">
        <v>0</v>
      </c>
      <c r="AD1304">
        <v>0</v>
      </c>
      <c r="AE1304">
        <v>0</v>
      </c>
      <c r="AF1304">
        <v>0</v>
      </c>
      <c r="AG1304">
        <v>0</v>
      </c>
      <c r="AH1304">
        <v>0</v>
      </c>
      <c r="AI1304">
        <v>0</v>
      </c>
      <c r="AJ1304">
        <v>0</v>
      </c>
      <c r="AK1304">
        <v>0</v>
      </c>
      <c r="AL1304">
        <v>0</v>
      </c>
      <c r="AM1304">
        <v>0</v>
      </c>
      <c r="AN1304">
        <v>0</v>
      </c>
      <c r="AO1304">
        <v>0</v>
      </c>
      <c r="AP1304">
        <v>0</v>
      </c>
      <c r="AQ1304">
        <v>216.87</v>
      </c>
      <c r="AR1304">
        <v>0</v>
      </c>
      <c r="AS1304">
        <v>0</v>
      </c>
      <c r="AT1304">
        <v>0</v>
      </c>
      <c r="AU1304">
        <v>0</v>
      </c>
      <c r="AV1304">
        <v>0</v>
      </c>
      <c r="AW1304">
        <v>0</v>
      </c>
      <c r="AX1304">
        <v>0</v>
      </c>
      <c r="AY1304">
        <v>0</v>
      </c>
      <c r="AZ1304">
        <v>0</v>
      </c>
      <c r="BA1304">
        <v>0</v>
      </c>
      <c r="BB1304">
        <v>0</v>
      </c>
      <c r="BC1304">
        <v>0</v>
      </c>
      <c r="BD1304">
        <v>0</v>
      </c>
      <c r="BE1304">
        <v>0</v>
      </c>
      <c r="BF1304">
        <v>0</v>
      </c>
      <c r="BG1304">
        <v>0</v>
      </c>
      <c r="BH1304">
        <v>2</v>
      </c>
      <c r="BI1304">
        <v>16.8</v>
      </c>
      <c r="BJ1304">
        <v>12.3</v>
      </c>
      <c r="BK1304">
        <v>17</v>
      </c>
      <c r="BL1304">
        <v>646.30999999999995</v>
      </c>
      <c r="BM1304">
        <v>96.95</v>
      </c>
      <c r="BN1304">
        <v>743.26</v>
      </c>
      <c r="BO1304">
        <v>743.26</v>
      </c>
      <c r="BQ1304" t="s">
        <v>1127</v>
      </c>
      <c r="BR1304" t="s">
        <v>82</v>
      </c>
      <c r="BS1304" s="3">
        <v>46002</v>
      </c>
      <c r="BT1304" s="4">
        <v>0.42152777777777778</v>
      </c>
      <c r="BU1304" t="s">
        <v>1408</v>
      </c>
      <c r="BV1304" t="s">
        <v>84</v>
      </c>
      <c r="BY1304">
        <v>61730</v>
      </c>
      <c r="CA1304" t="s">
        <v>1228</v>
      </c>
      <c r="CC1304" t="s">
        <v>142</v>
      </c>
      <c r="CD1304">
        <v>6001</v>
      </c>
      <c r="CE1304" t="s">
        <v>93</v>
      </c>
      <c r="CF1304" s="3">
        <v>46002</v>
      </c>
      <c r="CI1304">
        <v>1</v>
      </c>
      <c r="CJ1304">
        <v>1</v>
      </c>
      <c r="CK1304">
        <v>21</v>
      </c>
      <c r="CL1304" t="s">
        <v>87</v>
      </c>
    </row>
    <row r="1305" spans="1:90" x14ac:dyDescent="0.3">
      <c r="A1305" t="s">
        <v>72</v>
      </c>
      <c r="B1305" t="s">
        <v>73</v>
      </c>
      <c r="C1305" t="s">
        <v>74</v>
      </c>
      <c r="E1305" t="str">
        <f>"080069807266"</f>
        <v>080069807266</v>
      </c>
      <c r="F1305" s="3">
        <v>46001</v>
      </c>
      <c r="G1305">
        <v>202609</v>
      </c>
      <c r="H1305" t="s">
        <v>75</v>
      </c>
      <c r="I1305" t="s">
        <v>76</v>
      </c>
      <c r="J1305" t="s">
        <v>77</v>
      </c>
      <c r="K1305" t="s">
        <v>78</v>
      </c>
      <c r="L1305" t="s">
        <v>218</v>
      </c>
      <c r="M1305" t="s">
        <v>219</v>
      </c>
      <c r="N1305" t="s">
        <v>220</v>
      </c>
      <c r="O1305" t="s">
        <v>89</v>
      </c>
      <c r="P1305" t="str">
        <f>"4170072758                    "</f>
        <v xml:space="preserve">4170072758                    </v>
      </c>
      <c r="Q1305">
        <v>0</v>
      </c>
      <c r="R1305">
        <v>0</v>
      </c>
      <c r="S1305">
        <v>0</v>
      </c>
      <c r="T1305">
        <v>0</v>
      </c>
      <c r="U1305">
        <v>0</v>
      </c>
      <c r="V1305">
        <v>0</v>
      </c>
      <c r="W1305">
        <v>0</v>
      </c>
      <c r="X1305">
        <v>0</v>
      </c>
      <c r="Y1305">
        <v>0</v>
      </c>
      <c r="Z1305">
        <v>0</v>
      </c>
      <c r="AA1305">
        <v>0</v>
      </c>
      <c r="AB1305">
        <v>0</v>
      </c>
      <c r="AC1305">
        <v>0</v>
      </c>
      <c r="AD1305">
        <v>0</v>
      </c>
      <c r="AE1305">
        <v>0</v>
      </c>
      <c r="AF1305">
        <v>0</v>
      </c>
      <c r="AG1305">
        <v>0</v>
      </c>
      <c r="AH1305">
        <v>0</v>
      </c>
      <c r="AI1305">
        <v>0</v>
      </c>
      <c r="AJ1305">
        <v>0</v>
      </c>
      <c r="AK1305">
        <v>0</v>
      </c>
      <c r="AL1305">
        <v>0</v>
      </c>
      <c r="AM1305">
        <v>0</v>
      </c>
      <c r="AN1305">
        <v>0</v>
      </c>
      <c r="AO1305">
        <v>0</v>
      </c>
      <c r="AP1305">
        <v>0</v>
      </c>
      <c r="AQ1305">
        <v>216.94</v>
      </c>
      <c r="AR1305">
        <v>0</v>
      </c>
      <c r="AS1305">
        <v>0</v>
      </c>
      <c r="AT1305">
        <v>0</v>
      </c>
      <c r="AU1305">
        <v>0</v>
      </c>
      <c r="AV1305">
        <v>0</v>
      </c>
      <c r="AW1305">
        <v>0</v>
      </c>
      <c r="AX1305">
        <v>0</v>
      </c>
      <c r="AY1305">
        <v>0</v>
      </c>
      <c r="AZ1305">
        <v>0</v>
      </c>
      <c r="BA1305">
        <v>0</v>
      </c>
      <c r="BB1305">
        <v>0</v>
      </c>
      <c r="BC1305">
        <v>0</v>
      </c>
      <c r="BD1305">
        <v>0</v>
      </c>
      <c r="BE1305">
        <v>0</v>
      </c>
      <c r="BF1305">
        <v>0</v>
      </c>
      <c r="BG1305">
        <v>0</v>
      </c>
      <c r="BH1305">
        <v>1</v>
      </c>
      <c r="BI1305">
        <v>8</v>
      </c>
      <c r="BJ1305">
        <v>9.4</v>
      </c>
      <c r="BK1305">
        <v>9.5</v>
      </c>
      <c r="BL1305">
        <v>646.52</v>
      </c>
      <c r="BM1305">
        <v>96.98</v>
      </c>
      <c r="BN1305">
        <v>743.5</v>
      </c>
      <c r="BO1305">
        <v>743.5</v>
      </c>
      <c r="BQ1305" t="s">
        <v>221</v>
      </c>
      <c r="BR1305" t="s">
        <v>82</v>
      </c>
      <c r="BS1305" s="3">
        <v>46002</v>
      </c>
      <c r="BT1305" s="4">
        <v>0.3263888888888889</v>
      </c>
      <c r="BU1305" t="s">
        <v>222</v>
      </c>
      <c r="BV1305" t="s">
        <v>84</v>
      </c>
      <c r="BY1305">
        <v>47104</v>
      </c>
      <c r="CC1305" t="s">
        <v>219</v>
      </c>
      <c r="CD1305">
        <v>2740</v>
      </c>
      <c r="CE1305" t="s">
        <v>93</v>
      </c>
      <c r="CI1305">
        <v>1</v>
      </c>
      <c r="CJ1305">
        <v>1</v>
      </c>
      <c r="CK1305">
        <v>23</v>
      </c>
      <c r="CL1305" t="s">
        <v>87</v>
      </c>
    </row>
    <row r="1306" spans="1:90" x14ac:dyDescent="0.3">
      <c r="A1306" t="s">
        <v>72</v>
      </c>
      <c r="B1306" t="s">
        <v>73</v>
      </c>
      <c r="C1306" t="s">
        <v>74</v>
      </c>
      <c r="E1306" t="str">
        <f>"080069808349"</f>
        <v>080069808349</v>
      </c>
      <c r="F1306" s="3">
        <v>46001</v>
      </c>
      <c r="G1306">
        <v>202609</v>
      </c>
      <c r="H1306" t="s">
        <v>75</v>
      </c>
      <c r="I1306" t="s">
        <v>76</v>
      </c>
      <c r="J1306" t="s">
        <v>77</v>
      </c>
      <c r="K1306" t="s">
        <v>78</v>
      </c>
      <c r="L1306" t="s">
        <v>176</v>
      </c>
      <c r="M1306" t="s">
        <v>177</v>
      </c>
      <c r="N1306" t="s">
        <v>2020</v>
      </c>
      <c r="O1306" t="s">
        <v>340</v>
      </c>
      <c r="P1306" t="str">
        <f>"4170072744                    "</f>
        <v xml:space="preserve">4170072744                    </v>
      </c>
      <c r="Q1306">
        <v>0</v>
      </c>
      <c r="R1306">
        <v>0</v>
      </c>
      <c r="S1306">
        <v>0</v>
      </c>
      <c r="T1306">
        <v>0</v>
      </c>
      <c r="U1306">
        <v>0</v>
      </c>
      <c r="V1306">
        <v>0</v>
      </c>
      <c r="W1306">
        <v>0</v>
      </c>
      <c r="X1306">
        <v>0</v>
      </c>
      <c r="Y1306">
        <v>0</v>
      </c>
      <c r="Z1306">
        <v>0</v>
      </c>
      <c r="AA1306">
        <v>0</v>
      </c>
      <c r="AB1306">
        <v>0</v>
      </c>
      <c r="AC1306">
        <v>0</v>
      </c>
      <c r="AD1306">
        <v>0</v>
      </c>
      <c r="AE1306">
        <v>0</v>
      </c>
      <c r="AF1306">
        <v>0</v>
      </c>
      <c r="AG1306">
        <v>0</v>
      </c>
      <c r="AH1306">
        <v>0</v>
      </c>
      <c r="AI1306">
        <v>0</v>
      </c>
      <c r="AJ1306">
        <v>0</v>
      </c>
      <c r="AK1306">
        <v>0</v>
      </c>
      <c r="AL1306">
        <v>0</v>
      </c>
      <c r="AM1306">
        <v>0</v>
      </c>
      <c r="AN1306">
        <v>0</v>
      </c>
      <c r="AO1306">
        <v>0</v>
      </c>
      <c r="AP1306">
        <v>0</v>
      </c>
      <c r="AQ1306">
        <v>19.940000000000001</v>
      </c>
      <c r="AR1306">
        <v>0</v>
      </c>
      <c r="AS1306">
        <v>0</v>
      </c>
      <c r="AT1306">
        <v>0</v>
      </c>
      <c r="AU1306">
        <v>0</v>
      </c>
      <c r="AV1306">
        <v>0</v>
      </c>
      <c r="AW1306">
        <v>0</v>
      </c>
      <c r="AX1306">
        <v>0</v>
      </c>
      <c r="AY1306">
        <v>0</v>
      </c>
      <c r="AZ1306">
        <v>0</v>
      </c>
      <c r="BA1306">
        <v>0</v>
      </c>
      <c r="BB1306">
        <v>0</v>
      </c>
      <c r="BC1306">
        <v>0</v>
      </c>
      <c r="BD1306">
        <v>0</v>
      </c>
      <c r="BE1306">
        <v>0</v>
      </c>
      <c r="BF1306">
        <v>0</v>
      </c>
      <c r="BG1306">
        <v>0</v>
      </c>
      <c r="BH1306">
        <v>1</v>
      </c>
      <c r="BI1306">
        <v>2.1</v>
      </c>
      <c r="BJ1306">
        <v>2.2999999999999998</v>
      </c>
      <c r="BK1306">
        <v>3</v>
      </c>
      <c r="BL1306">
        <v>59.43</v>
      </c>
      <c r="BM1306">
        <v>8.91</v>
      </c>
      <c r="BN1306">
        <v>68.34</v>
      </c>
      <c r="BO1306">
        <v>68.34</v>
      </c>
      <c r="BQ1306" t="s">
        <v>2021</v>
      </c>
      <c r="BR1306" t="s">
        <v>82</v>
      </c>
      <c r="BS1306" s="3">
        <v>46002</v>
      </c>
      <c r="BT1306" s="4">
        <v>0.47222222222222221</v>
      </c>
      <c r="BU1306" t="s">
        <v>2022</v>
      </c>
      <c r="BV1306" t="s">
        <v>84</v>
      </c>
      <c r="BY1306">
        <v>11390.4</v>
      </c>
      <c r="CC1306" t="s">
        <v>177</v>
      </c>
      <c r="CD1306">
        <v>2001</v>
      </c>
      <c r="CE1306" t="s">
        <v>93</v>
      </c>
      <c r="CF1306" s="3">
        <v>46003</v>
      </c>
      <c r="CI1306">
        <v>1</v>
      </c>
      <c r="CJ1306">
        <v>1</v>
      </c>
      <c r="CK1306">
        <v>32</v>
      </c>
      <c r="CL1306" t="s">
        <v>87</v>
      </c>
    </row>
    <row r="1307" spans="1:90" x14ac:dyDescent="0.3">
      <c r="A1307" t="s">
        <v>72</v>
      </c>
      <c r="B1307" t="s">
        <v>73</v>
      </c>
      <c r="C1307" t="s">
        <v>74</v>
      </c>
      <c r="E1307" t="str">
        <f>"080069811849"</f>
        <v>080069811849</v>
      </c>
      <c r="F1307" s="3">
        <v>46001</v>
      </c>
      <c r="G1307">
        <v>202609</v>
      </c>
      <c r="H1307" t="s">
        <v>75</v>
      </c>
      <c r="I1307" t="s">
        <v>76</v>
      </c>
      <c r="J1307" t="s">
        <v>77</v>
      </c>
      <c r="K1307" t="s">
        <v>78</v>
      </c>
      <c r="L1307" t="s">
        <v>366</v>
      </c>
      <c r="M1307" t="s">
        <v>367</v>
      </c>
      <c r="N1307" t="s">
        <v>2023</v>
      </c>
      <c r="O1307" t="s">
        <v>89</v>
      </c>
      <c r="P1307" t="str">
        <f>"4170072506                    "</f>
        <v xml:space="preserve">4170072506                    </v>
      </c>
      <c r="Q1307">
        <v>0</v>
      </c>
      <c r="R1307">
        <v>0</v>
      </c>
      <c r="S1307">
        <v>0</v>
      </c>
      <c r="T1307">
        <v>0</v>
      </c>
      <c r="U1307">
        <v>0</v>
      </c>
      <c r="V1307">
        <v>0</v>
      </c>
      <c r="W1307">
        <v>0</v>
      </c>
      <c r="X1307">
        <v>0</v>
      </c>
      <c r="Y1307">
        <v>0</v>
      </c>
      <c r="Z1307">
        <v>0</v>
      </c>
      <c r="AA1307">
        <v>0</v>
      </c>
      <c r="AB1307">
        <v>0</v>
      </c>
      <c r="AC1307">
        <v>0</v>
      </c>
      <c r="AD1307">
        <v>0</v>
      </c>
      <c r="AE1307">
        <v>0</v>
      </c>
      <c r="AF1307">
        <v>0</v>
      </c>
      <c r="AG1307">
        <v>0</v>
      </c>
      <c r="AH1307">
        <v>0</v>
      </c>
      <c r="AI1307">
        <v>0</v>
      </c>
      <c r="AJ1307">
        <v>0</v>
      </c>
      <c r="AK1307">
        <v>0</v>
      </c>
      <c r="AL1307">
        <v>0</v>
      </c>
      <c r="AM1307">
        <v>0</v>
      </c>
      <c r="AN1307">
        <v>0</v>
      </c>
      <c r="AO1307">
        <v>0</v>
      </c>
      <c r="AP1307">
        <v>0</v>
      </c>
      <c r="AQ1307">
        <v>60.62</v>
      </c>
      <c r="AR1307">
        <v>0</v>
      </c>
      <c r="AS1307">
        <v>0</v>
      </c>
      <c r="AT1307">
        <v>0</v>
      </c>
      <c r="AU1307">
        <v>0</v>
      </c>
      <c r="AV1307">
        <v>0</v>
      </c>
      <c r="AW1307">
        <v>0</v>
      </c>
      <c r="AX1307">
        <v>0</v>
      </c>
      <c r="AY1307">
        <v>0</v>
      </c>
      <c r="AZ1307">
        <v>0</v>
      </c>
      <c r="BA1307">
        <v>0</v>
      </c>
      <c r="BB1307">
        <v>0</v>
      </c>
      <c r="BC1307">
        <v>0</v>
      </c>
      <c r="BD1307">
        <v>0</v>
      </c>
      <c r="BE1307">
        <v>0</v>
      </c>
      <c r="BF1307">
        <v>0</v>
      </c>
      <c r="BG1307">
        <v>0</v>
      </c>
      <c r="BH1307">
        <v>1</v>
      </c>
      <c r="BI1307">
        <v>2.5</v>
      </c>
      <c r="BJ1307">
        <v>1.8</v>
      </c>
      <c r="BK1307">
        <v>2.5</v>
      </c>
      <c r="BL1307">
        <v>180.66</v>
      </c>
      <c r="BM1307">
        <v>27.1</v>
      </c>
      <c r="BN1307">
        <v>207.76</v>
      </c>
      <c r="BO1307">
        <v>207.76</v>
      </c>
      <c r="BQ1307" t="s">
        <v>2024</v>
      </c>
      <c r="BR1307" t="s">
        <v>82</v>
      </c>
      <c r="BS1307" t="s">
        <v>500</v>
      </c>
      <c r="BY1307">
        <v>8947.58</v>
      </c>
      <c r="CC1307" t="s">
        <v>367</v>
      </c>
      <c r="CD1307">
        <v>1911</v>
      </c>
      <c r="CE1307" t="s">
        <v>86</v>
      </c>
      <c r="CI1307">
        <v>1</v>
      </c>
      <c r="CJ1307" t="s">
        <v>500</v>
      </c>
      <c r="CK1307">
        <v>23</v>
      </c>
      <c r="CL1307" t="s">
        <v>87</v>
      </c>
    </row>
    <row r="1308" spans="1:90" x14ac:dyDescent="0.3">
      <c r="A1308" t="s">
        <v>72</v>
      </c>
      <c r="B1308" t="s">
        <v>73</v>
      </c>
      <c r="C1308" t="s">
        <v>74</v>
      </c>
      <c r="E1308" t="str">
        <f>"080069811902"</f>
        <v>080069811902</v>
      </c>
      <c r="F1308" s="3">
        <v>46001</v>
      </c>
      <c r="G1308">
        <v>202609</v>
      </c>
      <c r="H1308" t="s">
        <v>75</v>
      </c>
      <c r="I1308" t="s">
        <v>76</v>
      </c>
      <c r="J1308" t="s">
        <v>77</v>
      </c>
      <c r="K1308" t="s">
        <v>78</v>
      </c>
      <c r="L1308" t="s">
        <v>272</v>
      </c>
      <c r="M1308" t="s">
        <v>273</v>
      </c>
      <c r="N1308" t="s">
        <v>274</v>
      </c>
      <c r="O1308" t="s">
        <v>89</v>
      </c>
      <c r="P1308" t="str">
        <f>"4170072738                    "</f>
        <v xml:space="preserve">4170072738                    </v>
      </c>
      <c r="Q1308">
        <v>0</v>
      </c>
      <c r="R1308">
        <v>0</v>
      </c>
      <c r="S1308">
        <v>0</v>
      </c>
      <c r="T1308">
        <v>0</v>
      </c>
      <c r="U1308">
        <v>0</v>
      </c>
      <c r="V1308">
        <v>0</v>
      </c>
      <c r="W1308">
        <v>0</v>
      </c>
      <c r="X1308">
        <v>0</v>
      </c>
      <c r="Y1308">
        <v>0</v>
      </c>
      <c r="Z1308">
        <v>0</v>
      </c>
      <c r="AA1308">
        <v>0</v>
      </c>
      <c r="AB1308">
        <v>0</v>
      </c>
      <c r="AC1308">
        <v>0</v>
      </c>
      <c r="AD1308">
        <v>0</v>
      </c>
      <c r="AE1308">
        <v>0</v>
      </c>
      <c r="AF1308">
        <v>0</v>
      </c>
      <c r="AG1308">
        <v>0</v>
      </c>
      <c r="AH1308">
        <v>0</v>
      </c>
      <c r="AI1308">
        <v>0</v>
      </c>
      <c r="AJ1308">
        <v>0</v>
      </c>
      <c r="AK1308">
        <v>0</v>
      </c>
      <c r="AL1308">
        <v>0</v>
      </c>
      <c r="AM1308">
        <v>0</v>
      </c>
      <c r="AN1308">
        <v>0</v>
      </c>
      <c r="AO1308">
        <v>0</v>
      </c>
      <c r="AP1308">
        <v>0</v>
      </c>
      <c r="AQ1308">
        <v>369.94</v>
      </c>
      <c r="AR1308">
        <v>0</v>
      </c>
      <c r="AS1308">
        <v>0</v>
      </c>
      <c r="AT1308">
        <v>0</v>
      </c>
      <c r="AU1308">
        <v>0</v>
      </c>
      <c r="AV1308">
        <v>0</v>
      </c>
      <c r="AW1308">
        <v>0</v>
      </c>
      <c r="AX1308">
        <v>0</v>
      </c>
      <c r="AY1308">
        <v>0</v>
      </c>
      <c r="AZ1308">
        <v>0</v>
      </c>
      <c r="BA1308">
        <v>0</v>
      </c>
      <c r="BB1308">
        <v>0</v>
      </c>
      <c r="BC1308">
        <v>0</v>
      </c>
      <c r="BD1308">
        <v>0</v>
      </c>
      <c r="BE1308">
        <v>0</v>
      </c>
      <c r="BF1308">
        <v>0</v>
      </c>
      <c r="BG1308">
        <v>0</v>
      </c>
      <c r="BH1308">
        <v>1</v>
      </c>
      <c r="BI1308">
        <v>4.5</v>
      </c>
      <c r="BJ1308">
        <v>28.9</v>
      </c>
      <c r="BK1308">
        <v>29</v>
      </c>
      <c r="BL1308">
        <v>1102.5</v>
      </c>
      <c r="BM1308">
        <v>165.38</v>
      </c>
      <c r="BN1308">
        <v>1267.8800000000001</v>
      </c>
      <c r="BO1308">
        <v>1267.8800000000001</v>
      </c>
      <c r="BQ1308" t="s">
        <v>275</v>
      </c>
      <c r="BR1308" t="s">
        <v>82</v>
      </c>
      <c r="BS1308" s="3">
        <v>46002</v>
      </c>
      <c r="BT1308" s="4">
        <v>0.52847222222222223</v>
      </c>
      <c r="BU1308" t="s">
        <v>276</v>
      </c>
      <c r="BV1308" t="s">
        <v>87</v>
      </c>
      <c r="BW1308" t="s">
        <v>246</v>
      </c>
      <c r="BX1308" t="s">
        <v>1574</v>
      </c>
      <c r="BY1308">
        <v>144491</v>
      </c>
      <c r="CA1308" t="s">
        <v>277</v>
      </c>
      <c r="CC1308" t="s">
        <v>273</v>
      </c>
      <c r="CD1308">
        <v>6220</v>
      </c>
      <c r="CE1308" t="s">
        <v>93</v>
      </c>
      <c r="CF1308" s="3">
        <v>46002</v>
      </c>
      <c r="CI1308">
        <v>1</v>
      </c>
      <c r="CJ1308">
        <v>1</v>
      </c>
      <c r="CK1308">
        <v>21</v>
      </c>
      <c r="CL1308" t="s">
        <v>87</v>
      </c>
    </row>
    <row r="1309" spans="1:90" x14ac:dyDescent="0.3">
      <c r="A1309" t="s">
        <v>72</v>
      </c>
      <c r="B1309" t="s">
        <v>73</v>
      </c>
      <c r="C1309" t="s">
        <v>74</v>
      </c>
      <c r="E1309" t="str">
        <f>"080069811984"</f>
        <v>080069811984</v>
      </c>
      <c r="F1309" s="3">
        <v>46001</v>
      </c>
      <c r="G1309">
        <v>202609</v>
      </c>
      <c r="H1309" t="s">
        <v>75</v>
      </c>
      <c r="I1309" t="s">
        <v>76</v>
      </c>
      <c r="J1309" t="s">
        <v>77</v>
      </c>
      <c r="K1309" t="s">
        <v>78</v>
      </c>
      <c r="L1309" t="s">
        <v>502</v>
      </c>
      <c r="M1309" t="s">
        <v>503</v>
      </c>
      <c r="N1309" t="s">
        <v>678</v>
      </c>
      <c r="O1309" t="s">
        <v>89</v>
      </c>
      <c r="P1309" t="str">
        <f>"4170072745                    "</f>
        <v xml:space="preserve">4170072745                    </v>
      </c>
      <c r="Q1309">
        <v>0</v>
      </c>
      <c r="R1309">
        <v>0</v>
      </c>
      <c r="S1309">
        <v>0</v>
      </c>
      <c r="T1309">
        <v>0</v>
      </c>
      <c r="U1309">
        <v>0</v>
      </c>
      <c r="V1309">
        <v>0</v>
      </c>
      <c r="W1309">
        <v>0</v>
      </c>
      <c r="X1309">
        <v>0</v>
      </c>
      <c r="Y1309">
        <v>0</v>
      </c>
      <c r="Z1309">
        <v>0</v>
      </c>
      <c r="AA1309">
        <v>0</v>
      </c>
      <c r="AB1309">
        <v>0</v>
      </c>
      <c r="AC1309">
        <v>0</v>
      </c>
      <c r="AD1309">
        <v>0</v>
      </c>
      <c r="AE1309">
        <v>0</v>
      </c>
      <c r="AF1309">
        <v>0</v>
      </c>
      <c r="AG1309">
        <v>0</v>
      </c>
      <c r="AH1309">
        <v>0</v>
      </c>
      <c r="AI1309">
        <v>0</v>
      </c>
      <c r="AJ1309">
        <v>0</v>
      </c>
      <c r="AK1309">
        <v>0</v>
      </c>
      <c r="AL1309">
        <v>0</v>
      </c>
      <c r="AM1309">
        <v>0</v>
      </c>
      <c r="AN1309">
        <v>0</v>
      </c>
      <c r="AO1309">
        <v>0</v>
      </c>
      <c r="AP1309">
        <v>0</v>
      </c>
      <c r="AQ1309">
        <v>19.940000000000001</v>
      </c>
      <c r="AR1309">
        <v>0</v>
      </c>
      <c r="AS1309">
        <v>0</v>
      </c>
      <c r="AT1309">
        <v>0</v>
      </c>
      <c r="AU1309">
        <v>0</v>
      </c>
      <c r="AV1309">
        <v>0</v>
      </c>
      <c r="AW1309">
        <v>0</v>
      </c>
      <c r="AX1309">
        <v>0</v>
      </c>
      <c r="AY1309">
        <v>0</v>
      </c>
      <c r="AZ1309">
        <v>0</v>
      </c>
      <c r="BA1309">
        <v>0</v>
      </c>
      <c r="BB1309">
        <v>0</v>
      </c>
      <c r="BC1309">
        <v>0</v>
      </c>
      <c r="BD1309">
        <v>0</v>
      </c>
      <c r="BE1309">
        <v>0</v>
      </c>
      <c r="BF1309">
        <v>0</v>
      </c>
      <c r="BG1309">
        <v>0</v>
      </c>
      <c r="BH1309">
        <v>1</v>
      </c>
      <c r="BI1309">
        <v>1.3</v>
      </c>
      <c r="BJ1309">
        <v>1</v>
      </c>
      <c r="BK1309">
        <v>2</v>
      </c>
      <c r="BL1309">
        <v>59.42</v>
      </c>
      <c r="BM1309">
        <v>8.91</v>
      </c>
      <c r="BN1309">
        <v>68.33</v>
      </c>
      <c r="BO1309">
        <v>68.33</v>
      </c>
      <c r="BQ1309" t="s">
        <v>679</v>
      </c>
      <c r="BR1309" t="s">
        <v>82</v>
      </c>
      <c r="BS1309" s="3">
        <v>46002</v>
      </c>
      <c r="BT1309" s="4">
        <v>0.5</v>
      </c>
      <c r="BU1309" t="s">
        <v>1930</v>
      </c>
      <c r="BV1309" t="s">
        <v>87</v>
      </c>
      <c r="BY1309">
        <v>5090.2299999999996</v>
      </c>
      <c r="CA1309" t="s">
        <v>507</v>
      </c>
      <c r="CC1309" t="s">
        <v>503</v>
      </c>
      <c r="CD1309">
        <v>1559</v>
      </c>
      <c r="CE1309" t="s">
        <v>86</v>
      </c>
      <c r="CF1309" s="3">
        <v>46003</v>
      </c>
      <c r="CI1309">
        <v>1</v>
      </c>
      <c r="CJ1309">
        <v>1</v>
      </c>
      <c r="CK1309">
        <v>22</v>
      </c>
      <c r="CL1309" t="s">
        <v>87</v>
      </c>
    </row>
    <row r="1310" spans="1:90" x14ac:dyDescent="0.3">
      <c r="A1310" t="s">
        <v>72</v>
      </c>
      <c r="B1310" t="s">
        <v>73</v>
      </c>
      <c r="C1310" t="s">
        <v>74</v>
      </c>
      <c r="E1310" t="str">
        <f>"080069812006"</f>
        <v>080069812006</v>
      </c>
      <c r="F1310" s="3">
        <v>46001</v>
      </c>
      <c r="G1310">
        <v>202609</v>
      </c>
      <c r="H1310" t="s">
        <v>75</v>
      </c>
      <c r="I1310" t="s">
        <v>76</v>
      </c>
      <c r="J1310" t="s">
        <v>77</v>
      </c>
      <c r="K1310" t="s">
        <v>78</v>
      </c>
      <c r="L1310" t="s">
        <v>302</v>
      </c>
      <c r="M1310" t="s">
        <v>303</v>
      </c>
      <c r="N1310" t="s">
        <v>347</v>
      </c>
      <c r="O1310" t="s">
        <v>89</v>
      </c>
      <c r="P1310" t="str">
        <f>"4170072492                    "</f>
        <v xml:space="preserve">4170072492                    </v>
      </c>
      <c r="Q1310">
        <v>0</v>
      </c>
      <c r="R1310">
        <v>0</v>
      </c>
      <c r="S1310">
        <v>0</v>
      </c>
      <c r="T1310">
        <v>0</v>
      </c>
      <c r="U1310">
        <v>0</v>
      </c>
      <c r="V1310">
        <v>0</v>
      </c>
      <c r="W1310">
        <v>0</v>
      </c>
      <c r="X1310">
        <v>0</v>
      </c>
      <c r="Y1310">
        <v>0</v>
      </c>
      <c r="Z1310">
        <v>0</v>
      </c>
      <c r="AA1310">
        <v>0</v>
      </c>
      <c r="AB1310">
        <v>0</v>
      </c>
      <c r="AC1310">
        <v>0</v>
      </c>
      <c r="AD1310">
        <v>0</v>
      </c>
      <c r="AE1310">
        <v>0</v>
      </c>
      <c r="AF1310">
        <v>0</v>
      </c>
      <c r="AG1310">
        <v>0</v>
      </c>
      <c r="AH1310">
        <v>0</v>
      </c>
      <c r="AI1310">
        <v>0</v>
      </c>
      <c r="AJ1310">
        <v>0</v>
      </c>
      <c r="AK1310">
        <v>0</v>
      </c>
      <c r="AL1310">
        <v>0</v>
      </c>
      <c r="AM1310">
        <v>0</v>
      </c>
      <c r="AN1310">
        <v>0</v>
      </c>
      <c r="AO1310">
        <v>0</v>
      </c>
      <c r="AP1310">
        <v>0</v>
      </c>
      <c r="AQ1310">
        <v>51.04</v>
      </c>
      <c r="AR1310">
        <v>0</v>
      </c>
      <c r="AS1310">
        <v>0</v>
      </c>
      <c r="AT1310">
        <v>0</v>
      </c>
      <c r="AU1310">
        <v>0</v>
      </c>
      <c r="AV1310">
        <v>0</v>
      </c>
      <c r="AW1310">
        <v>0</v>
      </c>
      <c r="AX1310">
        <v>0</v>
      </c>
      <c r="AY1310">
        <v>0</v>
      </c>
      <c r="AZ1310">
        <v>0</v>
      </c>
      <c r="BA1310">
        <v>0</v>
      </c>
      <c r="BB1310">
        <v>0</v>
      </c>
      <c r="BC1310">
        <v>0</v>
      </c>
      <c r="BD1310">
        <v>0</v>
      </c>
      <c r="BE1310">
        <v>0</v>
      </c>
      <c r="BF1310">
        <v>0</v>
      </c>
      <c r="BG1310">
        <v>0</v>
      </c>
      <c r="BH1310">
        <v>1</v>
      </c>
      <c r="BI1310">
        <v>1</v>
      </c>
      <c r="BJ1310">
        <v>3.7</v>
      </c>
      <c r="BK1310">
        <v>4</v>
      </c>
      <c r="BL1310">
        <v>152.1</v>
      </c>
      <c r="BM1310">
        <v>22.82</v>
      </c>
      <c r="BN1310">
        <v>174.92</v>
      </c>
      <c r="BO1310">
        <v>174.92</v>
      </c>
      <c r="BQ1310" t="s">
        <v>348</v>
      </c>
      <c r="BR1310" t="s">
        <v>82</v>
      </c>
      <c r="BS1310" s="3">
        <v>46002</v>
      </c>
      <c r="BT1310" s="4">
        <v>0.35972222222222222</v>
      </c>
      <c r="BU1310" t="s">
        <v>1380</v>
      </c>
      <c r="BV1310" t="s">
        <v>84</v>
      </c>
      <c r="BY1310">
        <v>18684.12</v>
      </c>
      <c r="CA1310">
        <v>8507115621084</v>
      </c>
      <c r="CC1310" t="s">
        <v>303</v>
      </c>
      <c r="CD1310" s="5" t="s">
        <v>350</v>
      </c>
      <c r="CE1310" t="s">
        <v>229</v>
      </c>
      <c r="CF1310" s="3">
        <v>46002</v>
      </c>
      <c r="CI1310">
        <v>1</v>
      </c>
      <c r="CJ1310">
        <v>1</v>
      </c>
      <c r="CK1310">
        <v>21</v>
      </c>
      <c r="CL1310" t="s">
        <v>87</v>
      </c>
    </row>
    <row r="1311" spans="1:90" x14ac:dyDescent="0.3">
      <c r="A1311" t="s">
        <v>72</v>
      </c>
      <c r="B1311" t="s">
        <v>73</v>
      </c>
      <c r="C1311" t="s">
        <v>74</v>
      </c>
      <c r="E1311" t="str">
        <f>"080069812067"</f>
        <v>080069812067</v>
      </c>
      <c r="F1311" s="3">
        <v>46001</v>
      </c>
      <c r="G1311">
        <v>202609</v>
      </c>
      <c r="H1311" t="s">
        <v>75</v>
      </c>
      <c r="I1311" t="s">
        <v>76</v>
      </c>
      <c r="J1311" t="s">
        <v>77</v>
      </c>
      <c r="K1311" t="s">
        <v>78</v>
      </c>
      <c r="L1311" t="s">
        <v>283</v>
      </c>
      <c r="M1311" t="s">
        <v>284</v>
      </c>
      <c r="N1311" t="s">
        <v>285</v>
      </c>
      <c r="O1311" t="s">
        <v>89</v>
      </c>
      <c r="P1311" t="str">
        <f>"4170072704                    "</f>
        <v xml:space="preserve">4170072704                    </v>
      </c>
      <c r="Q1311">
        <v>0</v>
      </c>
      <c r="R1311">
        <v>0</v>
      </c>
      <c r="S1311">
        <v>0</v>
      </c>
      <c r="T1311">
        <v>0</v>
      </c>
      <c r="U1311">
        <v>0</v>
      </c>
      <c r="V1311">
        <v>0</v>
      </c>
      <c r="W1311">
        <v>0</v>
      </c>
      <c r="X1311">
        <v>0</v>
      </c>
      <c r="Y1311">
        <v>0</v>
      </c>
      <c r="Z1311">
        <v>0</v>
      </c>
      <c r="AA1311">
        <v>0</v>
      </c>
      <c r="AB1311">
        <v>0</v>
      </c>
      <c r="AC1311">
        <v>0</v>
      </c>
      <c r="AD1311">
        <v>0</v>
      </c>
      <c r="AE1311">
        <v>0</v>
      </c>
      <c r="AF1311">
        <v>0</v>
      </c>
      <c r="AG1311">
        <v>0</v>
      </c>
      <c r="AH1311">
        <v>0</v>
      </c>
      <c r="AI1311">
        <v>0</v>
      </c>
      <c r="AJ1311">
        <v>0</v>
      </c>
      <c r="AK1311">
        <v>0</v>
      </c>
      <c r="AL1311">
        <v>0</v>
      </c>
      <c r="AM1311">
        <v>0</v>
      </c>
      <c r="AN1311">
        <v>0</v>
      </c>
      <c r="AO1311">
        <v>0</v>
      </c>
      <c r="AP1311">
        <v>0</v>
      </c>
      <c r="AQ1311">
        <v>306.26</v>
      </c>
      <c r="AR1311">
        <v>0</v>
      </c>
      <c r="AS1311">
        <v>0</v>
      </c>
      <c r="AT1311">
        <v>0</v>
      </c>
      <c r="AU1311">
        <v>0</v>
      </c>
      <c r="AV1311">
        <v>0</v>
      </c>
      <c r="AW1311">
        <v>0</v>
      </c>
      <c r="AX1311">
        <v>0</v>
      </c>
      <c r="AY1311">
        <v>0</v>
      </c>
      <c r="AZ1311">
        <v>0</v>
      </c>
      <c r="BA1311">
        <v>0</v>
      </c>
      <c r="BB1311">
        <v>0</v>
      </c>
      <c r="BC1311">
        <v>0</v>
      </c>
      <c r="BD1311">
        <v>0</v>
      </c>
      <c r="BE1311">
        <v>0</v>
      </c>
      <c r="BF1311">
        <v>0</v>
      </c>
      <c r="BG1311">
        <v>0</v>
      </c>
      <c r="BH1311">
        <v>1</v>
      </c>
      <c r="BI1311">
        <v>8.1999999999999993</v>
      </c>
      <c r="BJ1311">
        <v>13.4</v>
      </c>
      <c r="BK1311">
        <v>13.5</v>
      </c>
      <c r="BL1311">
        <v>912.72</v>
      </c>
      <c r="BM1311">
        <v>136.91</v>
      </c>
      <c r="BN1311">
        <v>1049.6300000000001</v>
      </c>
      <c r="BO1311">
        <v>1049.6300000000001</v>
      </c>
      <c r="BQ1311" t="s">
        <v>286</v>
      </c>
      <c r="BR1311" t="s">
        <v>82</v>
      </c>
      <c r="BS1311" s="3">
        <v>46002</v>
      </c>
      <c r="BT1311" s="4">
        <v>0.3527777777777778</v>
      </c>
      <c r="BU1311" t="s">
        <v>287</v>
      </c>
      <c r="BV1311" t="s">
        <v>84</v>
      </c>
      <c r="BY1311">
        <v>66958.92</v>
      </c>
      <c r="CA1311">
        <v>6805135560080</v>
      </c>
      <c r="CC1311" t="s">
        <v>284</v>
      </c>
      <c r="CD1311">
        <v>1947</v>
      </c>
      <c r="CE1311" t="s">
        <v>93</v>
      </c>
      <c r="CI1311">
        <v>1</v>
      </c>
      <c r="CJ1311">
        <v>1</v>
      </c>
      <c r="CK1311">
        <v>23</v>
      </c>
      <c r="CL1311" t="s">
        <v>87</v>
      </c>
    </row>
    <row r="1312" spans="1:90" x14ac:dyDescent="0.3">
      <c r="A1312" t="s">
        <v>72</v>
      </c>
      <c r="B1312" t="s">
        <v>73</v>
      </c>
      <c r="C1312" t="s">
        <v>74</v>
      </c>
      <c r="E1312" t="str">
        <f>"080069812942"</f>
        <v>080069812942</v>
      </c>
      <c r="F1312" s="3">
        <v>46001</v>
      </c>
      <c r="G1312">
        <v>202609</v>
      </c>
      <c r="H1312" t="s">
        <v>75</v>
      </c>
      <c r="I1312" t="s">
        <v>76</v>
      </c>
      <c r="J1312" t="s">
        <v>77</v>
      </c>
      <c r="K1312" t="s">
        <v>78</v>
      </c>
      <c r="L1312" t="s">
        <v>94</v>
      </c>
      <c r="M1312" t="s">
        <v>95</v>
      </c>
      <c r="N1312" t="s">
        <v>1838</v>
      </c>
      <c r="O1312" t="s">
        <v>89</v>
      </c>
      <c r="P1312" t="str">
        <f>"4170072747                    "</f>
        <v xml:space="preserve">4170072747                    </v>
      </c>
      <c r="Q1312">
        <v>0</v>
      </c>
      <c r="R1312">
        <v>0</v>
      </c>
      <c r="S1312">
        <v>0</v>
      </c>
      <c r="T1312">
        <v>0</v>
      </c>
      <c r="U1312">
        <v>0</v>
      </c>
      <c r="V1312">
        <v>0</v>
      </c>
      <c r="W1312">
        <v>0</v>
      </c>
      <c r="X1312">
        <v>0</v>
      </c>
      <c r="Y1312">
        <v>0</v>
      </c>
      <c r="Z1312">
        <v>0</v>
      </c>
      <c r="AA1312">
        <v>0</v>
      </c>
      <c r="AB1312">
        <v>0</v>
      </c>
      <c r="AC1312">
        <v>0</v>
      </c>
      <c r="AD1312">
        <v>0</v>
      </c>
      <c r="AE1312">
        <v>0</v>
      </c>
      <c r="AF1312">
        <v>0</v>
      </c>
      <c r="AG1312">
        <v>0</v>
      </c>
      <c r="AH1312">
        <v>0</v>
      </c>
      <c r="AI1312">
        <v>0</v>
      </c>
      <c r="AJ1312">
        <v>0</v>
      </c>
      <c r="AK1312">
        <v>0</v>
      </c>
      <c r="AL1312">
        <v>0</v>
      </c>
      <c r="AM1312">
        <v>0</v>
      </c>
      <c r="AN1312">
        <v>0</v>
      </c>
      <c r="AO1312">
        <v>0</v>
      </c>
      <c r="AP1312">
        <v>0</v>
      </c>
      <c r="AQ1312">
        <v>25.52</v>
      </c>
      <c r="AR1312">
        <v>0</v>
      </c>
      <c r="AS1312">
        <v>0</v>
      </c>
      <c r="AT1312">
        <v>0</v>
      </c>
      <c r="AU1312">
        <v>0</v>
      </c>
      <c r="AV1312">
        <v>0</v>
      </c>
      <c r="AW1312">
        <v>0</v>
      </c>
      <c r="AX1312">
        <v>0</v>
      </c>
      <c r="AY1312">
        <v>0</v>
      </c>
      <c r="AZ1312">
        <v>0</v>
      </c>
      <c r="BA1312">
        <v>0</v>
      </c>
      <c r="BB1312">
        <v>0</v>
      </c>
      <c r="BC1312">
        <v>0</v>
      </c>
      <c r="BD1312">
        <v>0</v>
      </c>
      <c r="BE1312">
        <v>0</v>
      </c>
      <c r="BF1312">
        <v>0</v>
      </c>
      <c r="BG1312">
        <v>0</v>
      </c>
      <c r="BH1312">
        <v>1</v>
      </c>
      <c r="BI1312">
        <v>0.2</v>
      </c>
      <c r="BJ1312">
        <v>1.6</v>
      </c>
      <c r="BK1312">
        <v>2</v>
      </c>
      <c r="BL1312">
        <v>76.06</v>
      </c>
      <c r="BM1312">
        <v>11.41</v>
      </c>
      <c r="BN1312">
        <v>87.47</v>
      </c>
      <c r="BO1312">
        <v>87.47</v>
      </c>
      <c r="BQ1312" t="s">
        <v>1839</v>
      </c>
      <c r="BR1312" t="s">
        <v>82</v>
      </c>
      <c r="BS1312" s="3">
        <v>46002</v>
      </c>
      <c r="BT1312" s="4">
        <v>0.40694444444444444</v>
      </c>
      <c r="BU1312" t="s">
        <v>1695</v>
      </c>
      <c r="BV1312" t="s">
        <v>84</v>
      </c>
      <c r="BY1312">
        <v>7814.05</v>
      </c>
      <c r="CA1312" t="s">
        <v>929</v>
      </c>
      <c r="CC1312" t="s">
        <v>95</v>
      </c>
      <c r="CD1312">
        <v>3610</v>
      </c>
      <c r="CE1312" t="s">
        <v>134</v>
      </c>
      <c r="CF1312" s="3">
        <v>46002</v>
      </c>
      <c r="CI1312">
        <v>1</v>
      </c>
      <c r="CJ1312">
        <v>1</v>
      </c>
      <c r="CK1312">
        <v>21</v>
      </c>
      <c r="CL1312" t="s">
        <v>87</v>
      </c>
    </row>
    <row r="1313" spans="1:90" x14ac:dyDescent="0.3">
      <c r="A1313" t="s">
        <v>72</v>
      </c>
      <c r="B1313" t="s">
        <v>73</v>
      </c>
      <c r="C1313" t="s">
        <v>74</v>
      </c>
      <c r="E1313" t="str">
        <f>"080069812981"</f>
        <v>080069812981</v>
      </c>
      <c r="F1313" s="3">
        <v>46001</v>
      </c>
      <c r="G1313">
        <v>202609</v>
      </c>
      <c r="H1313" t="s">
        <v>75</v>
      </c>
      <c r="I1313" t="s">
        <v>76</v>
      </c>
      <c r="J1313" t="s">
        <v>77</v>
      </c>
      <c r="K1313" t="s">
        <v>78</v>
      </c>
      <c r="L1313" t="s">
        <v>208</v>
      </c>
      <c r="M1313" t="s">
        <v>209</v>
      </c>
      <c r="N1313" t="s">
        <v>1756</v>
      </c>
      <c r="O1313" t="s">
        <v>89</v>
      </c>
      <c r="P1313" t="str">
        <f>"4170072819                    "</f>
        <v xml:space="preserve">4170072819                    </v>
      </c>
      <c r="Q1313">
        <v>0</v>
      </c>
      <c r="R1313">
        <v>0</v>
      </c>
      <c r="S1313">
        <v>0</v>
      </c>
      <c r="T1313">
        <v>0</v>
      </c>
      <c r="U1313">
        <v>0</v>
      </c>
      <c r="V1313">
        <v>0</v>
      </c>
      <c r="W1313">
        <v>0</v>
      </c>
      <c r="X1313">
        <v>0</v>
      </c>
      <c r="Y1313">
        <v>0</v>
      </c>
      <c r="Z1313">
        <v>0</v>
      </c>
      <c r="AA1313">
        <v>0</v>
      </c>
      <c r="AB1313">
        <v>0</v>
      </c>
      <c r="AC1313">
        <v>0</v>
      </c>
      <c r="AD1313">
        <v>0</v>
      </c>
      <c r="AE1313">
        <v>0</v>
      </c>
      <c r="AF1313">
        <v>0</v>
      </c>
      <c r="AG1313">
        <v>0</v>
      </c>
      <c r="AH1313">
        <v>0</v>
      </c>
      <c r="AI1313">
        <v>0</v>
      </c>
      <c r="AJ1313">
        <v>0</v>
      </c>
      <c r="AK1313">
        <v>0</v>
      </c>
      <c r="AL1313">
        <v>0</v>
      </c>
      <c r="AM1313">
        <v>0</v>
      </c>
      <c r="AN1313">
        <v>0</v>
      </c>
      <c r="AO1313">
        <v>0</v>
      </c>
      <c r="AP1313">
        <v>0</v>
      </c>
      <c r="AQ1313">
        <v>25.52</v>
      </c>
      <c r="AR1313">
        <v>0</v>
      </c>
      <c r="AS1313">
        <v>0</v>
      </c>
      <c r="AT1313">
        <v>0</v>
      </c>
      <c r="AU1313">
        <v>0</v>
      </c>
      <c r="AV1313">
        <v>0</v>
      </c>
      <c r="AW1313">
        <v>0</v>
      </c>
      <c r="AX1313">
        <v>0</v>
      </c>
      <c r="AY1313">
        <v>0</v>
      </c>
      <c r="AZ1313">
        <v>0</v>
      </c>
      <c r="BA1313">
        <v>0</v>
      </c>
      <c r="BB1313">
        <v>0</v>
      </c>
      <c r="BC1313">
        <v>0</v>
      </c>
      <c r="BD1313">
        <v>0</v>
      </c>
      <c r="BE1313">
        <v>0</v>
      </c>
      <c r="BF1313">
        <v>0</v>
      </c>
      <c r="BG1313">
        <v>0</v>
      </c>
      <c r="BH1313">
        <v>1</v>
      </c>
      <c r="BI1313">
        <v>1.5</v>
      </c>
      <c r="BJ1313">
        <v>1.5</v>
      </c>
      <c r="BK1313">
        <v>1.5</v>
      </c>
      <c r="BL1313">
        <v>76.06</v>
      </c>
      <c r="BM1313">
        <v>11.41</v>
      </c>
      <c r="BN1313">
        <v>87.47</v>
      </c>
      <c r="BO1313">
        <v>87.47</v>
      </c>
      <c r="BQ1313" t="s">
        <v>1757</v>
      </c>
      <c r="BR1313" t="s">
        <v>82</v>
      </c>
      <c r="BS1313" s="3">
        <v>46002</v>
      </c>
      <c r="BT1313" s="4">
        <v>0.41666666666666669</v>
      </c>
      <c r="BU1313" t="s">
        <v>1766</v>
      </c>
      <c r="BV1313" t="s">
        <v>84</v>
      </c>
      <c r="BY1313">
        <v>7377.48</v>
      </c>
      <c r="CA1313">
        <v>9004295789088</v>
      </c>
      <c r="CC1313" t="s">
        <v>209</v>
      </c>
      <c r="CD1313" s="5" t="s">
        <v>213</v>
      </c>
      <c r="CE1313" t="s">
        <v>86</v>
      </c>
      <c r="CF1313" s="3">
        <v>46002</v>
      </c>
      <c r="CI1313">
        <v>1</v>
      </c>
      <c r="CJ1313">
        <v>1</v>
      </c>
      <c r="CK1313">
        <v>21</v>
      </c>
      <c r="CL1313" t="s">
        <v>87</v>
      </c>
    </row>
    <row r="1314" spans="1:90" x14ac:dyDescent="0.3">
      <c r="A1314" t="s">
        <v>72</v>
      </c>
      <c r="B1314" t="s">
        <v>73</v>
      </c>
      <c r="C1314" t="s">
        <v>74</v>
      </c>
      <c r="E1314" t="str">
        <f>"080069813506"</f>
        <v>080069813506</v>
      </c>
      <c r="F1314" s="3">
        <v>46001</v>
      </c>
      <c r="G1314">
        <v>202609</v>
      </c>
      <c r="H1314" t="s">
        <v>75</v>
      </c>
      <c r="I1314" t="s">
        <v>76</v>
      </c>
      <c r="J1314" t="s">
        <v>77</v>
      </c>
      <c r="K1314" t="s">
        <v>78</v>
      </c>
      <c r="L1314" t="s">
        <v>302</v>
      </c>
      <c r="M1314" t="s">
        <v>303</v>
      </c>
      <c r="N1314" t="s">
        <v>304</v>
      </c>
      <c r="O1314" t="s">
        <v>80</v>
      </c>
      <c r="P1314" t="str">
        <f>"4170072799                    "</f>
        <v xml:space="preserve">4170072799                    </v>
      </c>
      <c r="Q1314">
        <v>0</v>
      </c>
      <c r="R1314">
        <v>0</v>
      </c>
      <c r="S1314">
        <v>0</v>
      </c>
      <c r="T1314">
        <v>0</v>
      </c>
      <c r="U1314">
        <v>0</v>
      </c>
      <c r="V1314">
        <v>0</v>
      </c>
      <c r="W1314">
        <v>0</v>
      </c>
      <c r="X1314">
        <v>0</v>
      </c>
      <c r="Y1314">
        <v>0</v>
      </c>
      <c r="Z1314">
        <v>0</v>
      </c>
      <c r="AA1314">
        <v>0</v>
      </c>
      <c r="AB1314">
        <v>0</v>
      </c>
      <c r="AC1314">
        <v>0</v>
      </c>
      <c r="AD1314">
        <v>0</v>
      </c>
      <c r="AE1314">
        <v>0</v>
      </c>
      <c r="AF1314">
        <v>0</v>
      </c>
      <c r="AG1314">
        <v>0</v>
      </c>
      <c r="AH1314">
        <v>0</v>
      </c>
      <c r="AI1314">
        <v>0</v>
      </c>
      <c r="AJ1314">
        <v>0</v>
      </c>
      <c r="AK1314">
        <v>0</v>
      </c>
      <c r="AL1314">
        <v>0</v>
      </c>
      <c r="AM1314">
        <v>0</v>
      </c>
      <c r="AN1314">
        <v>0</v>
      </c>
      <c r="AO1314">
        <v>0</v>
      </c>
      <c r="AP1314">
        <v>0</v>
      </c>
      <c r="AQ1314">
        <v>222.78</v>
      </c>
      <c r="AR1314">
        <v>0</v>
      </c>
      <c r="AS1314">
        <v>0</v>
      </c>
      <c r="AT1314">
        <v>0</v>
      </c>
      <c r="AU1314">
        <v>0</v>
      </c>
      <c r="AV1314">
        <v>0</v>
      </c>
      <c r="AW1314">
        <v>0</v>
      </c>
      <c r="AX1314">
        <v>0</v>
      </c>
      <c r="AY1314">
        <v>0</v>
      </c>
      <c r="AZ1314">
        <v>0</v>
      </c>
      <c r="BA1314">
        <v>0</v>
      </c>
      <c r="BB1314">
        <v>0</v>
      </c>
      <c r="BC1314">
        <v>0</v>
      </c>
      <c r="BD1314">
        <v>0</v>
      </c>
      <c r="BE1314">
        <v>0</v>
      </c>
      <c r="BF1314">
        <v>0</v>
      </c>
      <c r="BG1314">
        <v>0</v>
      </c>
      <c r="BH1314">
        <v>1</v>
      </c>
      <c r="BI1314">
        <v>58</v>
      </c>
      <c r="BJ1314">
        <v>99.6</v>
      </c>
      <c r="BK1314">
        <v>100</v>
      </c>
      <c r="BL1314">
        <v>670.02</v>
      </c>
      <c r="BM1314">
        <v>100.5</v>
      </c>
      <c r="BN1314">
        <v>770.52</v>
      </c>
      <c r="BO1314">
        <v>770.52</v>
      </c>
      <c r="BQ1314" t="s">
        <v>305</v>
      </c>
      <c r="BR1314" t="s">
        <v>82</v>
      </c>
      <c r="BS1314" s="3">
        <v>46002</v>
      </c>
      <c r="BT1314" s="4">
        <v>0.625</v>
      </c>
      <c r="BU1314" t="s">
        <v>2025</v>
      </c>
      <c r="BV1314" t="s">
        <v>84</v>
      </c>
      <c r="BY1314">
        <v>498150</v>
      </c>
      <c r="CC1314" t="s">
        <v>303</v>
      </c>
      <c r="CD1314" s="5" t="s">
        <v>307</v>
      </c>
      <c r="CE1314" t="s">
        <v>567</v>
      </c>
      <c r="CF1314" s="3">
        <v>46002</v>
      </c>
      <c r="CI1314">
        <v>1</v>
      </c>
      <c r="CJ1314">
        <v>1</v>
      </c>
      <c r="CK1314">
        <v>41</v>
      </c>
      <c r="CL1314" t="s">
        <v>87</v>
      </c>
    </row>
    <row r="1315" spans="1:90" x14ac:dyDescent="0.3">
      <c r="A1315" t="s">
        <v>72</v>
      </c>
      <c r="B1315" t="s">
        <v>73</v>
      </c>
      <c r="C1315" t="s">
        <v>74</v>
      </c>
      <c r="E1315" t="str">
        <f>"080069813814"</f>
        <v>080069813814</v>
      </c>
      <c r="F1315" s="3">
        <v>46001</v>
      </c>
      <c r="G1315">
        <v>202609</v>
      </c>
      <c r="H1315" t="s">
        <v>75</v>
      </c>
      <c r="I1315" t="s">
        <v>76</v>
      </c>
      <c r="J1315" t="s">
        <v>77</v>
      </c>
      <c r="K1315" t="s">
        <v>78</v>
      </c>
      <c r="L1315" t="s">
        <v>202</v>
      </c>
      <c r="M1315" t="s">
        <v>203</v>
      </c>
      <c r="N1315" t="s">
        <v>204</v>
      </c>
      <c r="O1315" t="s">
        <v>80</v>
      </c>
      <c r="P1315" t="str">
        <f>"4170072763                    "</f>
        <v xml:space="preserve">4170072763                    </v>
      </c>
      <c r="Q1315">
        <v>0</v>
      </c>
      <c r="R1315">
        <v>0</v>
      </c>
      <c r="S1315">
        <v>0</v>
      </c>
      <c r="T1315">
        <v>0</v>
      </c>
      <c r="U1315">
        <v>0</v>
      </c>
      <c r="V1315">
        <v>0</v>
      </c>
      <c r="W1315">
        <v>0</v>
      </c>
      <c r="X1315">
        <v>0</v>
      </c>
      <c r="Y1315">
        <v>0</v>
      </c>
      <c r="Z1315">
        <v>0</v>
      </c>
      <c r="AA1315">
        <v>0</v>
      </c>
      <c r="AB1315">
        <v>0</v>
      </c>
      <c r="AC1315">
        <v>0</v>
      </c>
      <c r="AD1315">
        <v>0</v>
      </c>
      <c r="AE1315">
        <v>0</v>
      </c>
      <c r="AF1315">
        <v>0</v>
      </c>
      <c r="AG1315">
        <v>0</v>
      </c>
      <c r="AH1315">
        <v>0</v>
      </c>
      <c r="AI1315">
        <v>0</v>
      </c>
      <c r="AJ1315">
        <v>0</v>
      </c>
      <c r="AK1315">
        <v>0</v>
      </c>
      <c r="AL1315">
        <v>0</v>
      </c>
      <c r="AM1315">
        <v>0</v>
      </c>
      <c r="AN1315">
        <v>0</v>
      </c>
      <c r="AO1315">
        <v>0</v>
      </c>
      <c r="AP1315">
        <v>0</v>
      </c>
      <c r="AQ1315">
        <v>69.61</v>
      </c>
      <c r="AR1315">
        <v>0</v>
      </c>
      <c r="AS1315">
        <v>0</v>
      </c>
      <c r="AT1315">
        <v>0</v>
      </c>
      <c r="AU1315">
        <v>0</v>
      </c>
      <c r="AV1315">
        <v>0</v>
      </c>
      <c r="AW1315">
        <v>0</v>
      </c>
      <c r="AX1315">
        <v>0</v>
      </c>
      <c r="AY1315">
        <v>0</v>
      </c>
      <c r="AZ1315">
        <v>0</v>
      </c>
      <c r="BA1315">
        <v>0</v>
      </c>
      <c r="BB1315">
        <v>0</v>
      </c>
      <c r="BC1315">
        <v>0</v>
      </c>
      <c r="BD1315">
        <v>0</v>
      </c>
      <c r="BE1315">
        <v>0</v>
      </c>
      <c r="BF1315">
        <v>0</v>
      </c>
      <c r="BG1315">
        <v>0</v>
      </c>
      <c r="BH1315">
        <v>1</v>
      </c>
      <c r="BI1315">
        <v>8.1</v>
      </c>
      <c r="BJ1315">
        <v>5.3</v>
      </c>
      <c r="BK1315">
        <v>9</v>
      </c>
      <c r="BL1315">
        <v>213.56</v>
      </c>
      <c r="BM1315">
        <v>32.03</v>
      </c>
      <c r="BN1315">
        <v>245.59</v>
      </c>
      <c r="BO1315">
        <v>245.59</v>
      </c>
      <c r="BQ1315" t="s">
        <v>205</v>
      </c>
      <c r="BR1315" t="s">
        <v>82</v>
      </c>
      <c r="BS1315" s="3">
        <v>46002</v>
      </c>
      <c r="BT1315" s="4">
        <v>0.41111111111111109</v>
      </c>
      <c r="BU1315" t="s">
        <v>1520</v>
      </c>
      <c r="BV1315" t="s">
        <v>84</v>
      </c>
      <c r="BY1315">
        <v>26551.89</v>
      </c>
      <c r="CA1315">
        <v>7908245451080</v>
      </c>
      <c r="CC1315" t="s">
        <v>203</v>
      </c>
      <c r="CD1315">
        <v>2531</v>
      </c>
      <c r="CE1315" t="s">
        <v>654</v>
      </c>
      <c r="CI1315">
        <v>1</v>
      </c>
      <c r="CJ1315">
        <v>1</v>
      </c>
      <c r="CK1315">
        <v>43</v>
      </c>
      <c r="CL1315" t="s">
        <v>87</v>
      </c>
    </row>
    <row r="1316" spans="1:90" x14ac:dyDescent="0.3">
      <c r="A1316" t="s">
        <v>72</v>
      </c>
      <c r="B1316" t="s">
        <v>73</v>
      </c>
      <c r="C1316" t="s">
        <v>74</v>
      </c>
      <c r="E1316" t="str">
        <f>"080069813815"</f>
        <v>080069813815</v>
      </c>
      <c r="F1316" s="3">
        <v>46001</v>
      </c>
      <c r="G1316">
        <v>202609</v>
      </c>
      <c r="H1316" t="s">
        <v>75</v>
      </c>
      <c r="I1316" t="s">
        <v>76</v>
      </c>
      <c r="J1316" t="s">
        <v>77</v>
      </c>
      <c r="K1316" t="s">
        <v>78</v>
      </c>
      <c r="L1316" t="s">
        <v>141</v>
      </c>
      <c r="M1316" t="s">
        <v>142</v>
      </c>
      <c r="N1316" t="s">
        <v>608</v>
      </c>
      <c r="O1316" t="s">
        <v>89</v>
      </c>
      <c r="P1316" t="str">
        <f>"4170072751                    "</f>
        <v xml:space="preserve">4170072751                    </v>
      </c>
      <c r="Q1316">
        <v>0</v>
      </c>
      <c r="R1316">
        <v>0</v>
      </c>
      <c r="S1316">
        <v>0</v>
      </c>
      <c r="T1316">
        <v>0</v>
      </c>
      <c r="U1316">
        <v>0</v>
      </c>
      <c r="V1316">
        <v>0</v>
      </c>
      <c r="W1316">
        <v>0</v>
      </c>
      <c r="X1316">
        <v>0</v>
      </c>
      <c r="Y1316">
        <v>0</v>
      </c>
      <c r="Z1316">
        <v>0</v>
      </c>
      <c r="AA1316">
        <v>0</v>
      </c>
      <c r="AB1316">
        <v>0</v>
      </c>
      <c r="AC1316">
        <v>0</v>
      </c>
      <c r="AD1316">
        <v>0</v>
      </c>
      <c r="AE1316">
        <v>0</v>
      </c>
      <c r="AF1316">
        <v>0</v>
      </c>
      <c r="AG1316">
        <v>0</v>
      </c>
      <c r="AH1316">
        <v>0</v>
      </c>
      <c r="AI1316">
        <v>0</v>
      </c>
      <c r="AJ1316">
        <v>0</v>
      </c>
      <c r="AK1316">
        <v>0</v>
      </c>
      <c r="AL1316">
        <v>0</v>
      </c>
      <c r="AM1316">
        <v>0</v>
      </c>
      <c r="AN1316">
        <v>0</v>
      </c>
      <c r="AO1316">
        <v>0</v>
      </c>
      <c r="AP1316">
        <v>0</v>
      </c>
      <c r="AQ1316">
        <v>31.9</v>
      </c>
      <c r="AR1316">
        <v>0</v>
      </c>
      <c r="AS1316">
        <v>0</v>
      </c>
      <c r="AT1316">
        <v>0</v>
      </c>
      <c r="AU1316">
        <v>0</v>
      </c>
      <c r="AV1316">
        <v>0</v>
      </c>
      <c r="AW1316">
        <v>0</v>
      </c>
      <c r="AX1316">
        <v>0</v>
      </c>
      <c r="AY1316">
        <v>0</v>
      </c>
      <c r="AZ1316">
        <v>0</v>
      </c>
      <c r="BA1316">
        <v>0</v>
      </c>
      <c r="BB1316">
        <v>0</v>
      </c>
      <c r="BC1316">
        <v>0</v>
      </c>
      <c r="BD1316">
        <v>0</v>
      </c>
      <c r="BE1316">
        <v>0</v>
      </c>
      <c r="BF1316">
        <v>0</v>
      </c>
      <c r="BG1316">
        <v>0</v>
      </c>
      <c r="BH1316">
        <v>1</v>
      </c>
      <c r="BI1316">
        <v>1.5</v>
      </c>
      <c r="BJ1316">
        <v>2.1</v>
      </c>
      <c r="BK1316">
        <v>2.5</v>
      </c>
      <c r="BL1316">
        <v>95.07</v>
      </c>
      <c r="BM1316">
        <v>14.26</v>
      </c>
      <c r="BN1316">
        <v>109.33</v>
      </c>
      <c r="BO1316">
        <v>109.33</v>
      </c>
      <c r="BQ1316" t="s">
        <v>609</v>
      </c>
      <c r="BR1316" t="s">
        <v>82</v>
      </c>
      <c r="BS1316" s="3">
        <v>46002</v>
      </c>
      <c r="BT1316" s="4">
        <v>0.41875000000000001</v>
      </c>
      <c r="BU1316" t="s">
        <v>610</v>
      </c>
      <c r="BV1316" t="s">
        <v>84</v>
      </c>
      <c r="BY1316">
        <v>10530.74</v>
      </c>
      <c r="CA1316" t="s">
        <v>315</v>
      </c>
      <c r="CC1316" t="s">
        <v>142</v>
      </c>
      <c r="CD1316">
        <v>6070</v>
      </c>
      <c r="CE1316" t="s">
        <v>134</v>
      </c>
      <c r="CF1316" s="3">
        <v>46002</v>
      </c>
      <c r="CI1316">
        <v>1</v>
      </c>
      <c r="CJ1316">
        <v>1</v>
      </c>
      <c r="CK1316">
        <v>21</v>
      </c>
      <c r="CL1316" t="s">
        <v>87</v>
      </c>
    </row>
    <row r="1317" spans="1:90" x14ac:dyDescent="0.3">
      <c r="A1317" t="s">
        <v>72</v>
      </c>
      <c r="B1317" t="s">
        <v>73</v>
      </c>
      <c r="C1317" t="s">
        <v>74</v>
      </c>
      <c r="E1317" t="str">
        <f>"080069813856"</f>
        <v>080069813856</v>
      </c>
      <c r="F1317" s="3">
        <v>46001</v>
      </c>
      <c r="G1317">
        <v>202609</v>
      </c>
      <c r="H1317" t="s">
        <v>75</v>
      </c>
      <c r="I1317" t="s">
        <v>76</v>
      </c>
      <c r="J1317" t="s">
        <v>77</v>
      </c>
      <c r="K1317" t="s">
        <v>78</v>
      </c>
      <c r="L1317" t="s">
        <v>371</v>
      </c>
      <c r="M1317" t="s">
        <v>372</v>
      </c>
      <c r="N1317" t="s">
        <v>2026</v>
      </c>
      <c r="O1317" t="s">
        <v>89</v>
      </c>
      <c r="P1317" t="str">
        <f>"4170072767                    "</f>
        <v xml:space="preserve">4170072767                    </v>
      </c>
      <c r="Q1317">
        <v>0</v>
      </c>
      <c r="R1317">
        <v>0</v>
      </c>
      <c r="S1317">
        <v>0</v>
      </c>
      <c r="T1317">
        <v>0</v>
      </c>
      <c r="U1317">
        <v>0</v>
      </c>
      <c r="V1317">
        <v>0</v>
      </c>
      <c r="W1317">
        <v>0</v>
      </c>
      <c r="X1317">
        <v>0</v>
      </c>
      <c r="Y1317">
        <v>0</v>
      </c>
      <c r="Z1317">
        <v>0</v>
      </c>
      <c r="AA1317">
        <v>0</v>
      </c>
      <c r="AB1317">
        <v>0</v>
      </c>
      <c r="AC1317">
        <v>0</v>
      </c>
      <c r="AD1317">
        <v>0</v>
      </c>
      <c r="AE1317">
        <v>0</v>
      </c>
      <c r="AF1317">
        <v>0</v>
      </c>
      <c r="AG1317">
        <v>0</v>
      </c>
      <c r="AH1317">
        <v>0</v>
      </c>
      <c r="AI1317">
        <v>0</v>
      </c>
      <c r="AJ1317">
        <v>0</v>
      </c>
      <c r="AK1317">
        <v>0</v>
      </c>
      <c r="AL1317">
        <v>0</v>
      </c>
      <c r="AM1317">
        <v>0</v>
      </c>
      <c r="AN1317">
        <v>0</v>
      </c>
      <c r="AO1317">
        <v>0</v>
      </c>
      <c r="AP1317">
        <v>0</v>
      </c>
      <c r="AQ1317">
        <v>38.28</v>
      </c>
      <c r="AR1317">
        <v>0</v>
      </c>
      <c r="AS1317">
        <v>0</v>
      </c>
      <c r="AT1317">
        <v>0</v>
      </c>
      <c r="AU1317">
        <v>0</v>
      </c>
      <c r="AV1317">
        <v>0</v>
      </c>
      <c r="AW1317">
        <v>0</v>
      </c>
      <c r="AX1317">
        <v>0</v>
      </c>
      <c r="AY1317">
        <v>0</v>
      </c>
      <c r="AZ1317">
        <v>0</v>
      </c>
      <c r="BA1317">
        <v>0</v>
      </c>
      <c r="BB1317">
        <v>0</v>
      </c>
      <c r="BC1317">
        <v>0</v>
      </c>
      <c r="BD1317">
        <v>0</v>
      </c>
      <c r="BE1317">
        <v>0</v>
      </c>
      <c r="BF1317">
        <v>0</v>
      </c>
      <c r="BG1317">
        <v>0</v>
      </c>
      <c r="BH1317">
        <v>1</v>
      </c>
      <c r="BI1317">
        <v>2.9</v>
      </c>
      <c r="BJ1317">
        <v>1.5</v>
      </c>
      <c r="BK1317">
        <v>3</v>
      </c>
      <c r="BL1317">
        <v>114.08</v>
      </c>
      <c r="BM1317">
        <v>17.11</v>
      </c>
      <c r="BN1317">
        <v>131.19</v>
      </c>
      <c r="BO1317">
        <v>131.19</v>
      </c>
      <c r="BQ1317" t="s">
        <v>2027</v>
      </c>
      <c r="BR1317" t="s">
        <v>82</v>
      </c>
      <c r="BS1317" s="3">
        <v>46002</v>
      </c>
      <c r="BT1317" s="4">
        <v>0.76736111111111116</v>
      </c>
      <c r="BU1317" t="s">
        <v>2028</v>
      </c>
      <c r="BV1317" t="s">
        <v>87</v>
      </c>
      <c r="BW1317" t="s">
        <v>246</v>
      </c>
      <c r="BX1317" t="s">
        <v>106</v>
      </c>
      <c r="BY1317">
        <v>7379.78</v>
      </c>
      <c r="CA1317" t="s">
        <v>2029</v>
      </c>
      <c r="CC1317" t="s">
        <v>372</v>
      </c>
      <c r="CD1317">
        <v>4126</v>
      </c>
      <c r="CE1317" t="s">
        <v>86</v>
      </c>
      <c r="CI1317">
        <v>1</v>
      </c>
      <c r="CJ1317">
        <v>1</v>
      </c>
      <c r="CK1317">
        <v>21</v>
      </c>
      <c r="CL1317" t="s">
        <v>87</v>
      </c>
    </row>
    <row r="1318" spans="1:90" x14ac:dyDescent="0.3">
      <c r="A1318" t="s">
        <v>72</v>
      </c>
      <c r="B1318" t="s">
        <v>73</v>
      </c>
      <c r="C1318" t="s">
        <v>74</v>
      </c>
      <c r="E1318" t="str">
        <f>"080069813858"</f>
        <v>080069813858</v>
      </c>
      <c r="F1318" s="3">
        <v>46001</v>
      </c>
      <c r="G1318">
        <v>202609</v>
      </c>
      <c r="H1318" t="s">
        <v>75</v>
      </c>
      <c r="I1318" t="s">
        <v>76</v>
      </c>
      <c r="J1318" t="s">
        <v>77</v>
      </c>
      <c r="K1318" t="s">
        <v>78</v>
      </c>
      <c r="L1318" t="s">
        <v>1002</v>
      </c>
      <c r="M1318" t="s">
        <v>1003</v>
      </c>
      <c r="N1318" t="s">
        <v>1004</v>
      </c>
      <c r="O1318" t="s">
        <v>89</v>
      </c>
      <c r="P1318" t="str">
        <f>"4170072762                    "</f>
        <v xml:space="preserve">4170072762                    </v>
      </c>
      <c r="Q1318">
        <v>0</v>
      </c>
      <c r="R1318">
        <v>0</v>
      </c>
      <c r="S1318">
        <v>0</v>
      </c>
      <c r="T1318">
        <v>0</v>
      </c>
      <c r="U1318">
        <v>0</v>
      </c>
      <c r="V1318">
        <v>0</v>
      </c>
      <c r="W1318">
        <v>0</v>
      </c>
      <c r="X1318">
        <v>0</v>
      </c>
      <c r="Y1318">
        <v>0</v>
      </c>
      <c r="Z1318">
        <v>0</v>
      </c>
      <c r="AA1318">
        <v>0</v>
      </c>
      <c r="AB1318">
        <v>0</v>
      </c>
      <c r="AC1318">
        <v>0</v>
      </c>
      <c r="AD1318">
        <v>0</v>
      </c>
      <c r="AE1318">
        <v>0</v>
      </c>
      <c r="AF1318">
        <v>0</v>
      </c>
      <c r="AG1318">
        <v>0</v>
      </c>
      <c r="AH1318">
        <v>0</v>
      </c>
      <c r="AI1318">
        <v>0</v>
      </c>
      <c r="AJ1318">
        <v>0</v>
      </c>
      <c r="AK1318">
        <v>0</v>
      </c>
      <c r="AL1318">
        <v>0</v>
      </c>
      <c r="AM1318">
        <v>0</v>
      </c>
      <c r="AN1318">
        <v>0</v>
      </c>
      <c r="AO1318">
        <v>0</v>
      </c>
      <c r="AP1318">
        <v>0</v>
      </c>
      <c r="AQ1318">
        <v>49.45</v>
      </c>
      <c r="AR1318">
        <v>0</v>
      </c>
      <c r="AS1318">
        <v>0</v>
      </c>
      <c r="AT1318">
        <v>0</v>
      </c>
      <c r="AU1318">
        <v>0</v>
      </c>
      <c r="AV1318">
        <v>0</v>
      </c>
      <c r="AW1318">
        <v>0</v>
      </c>
      <c r="AX1318">
        <v>0</v>
      </c>
      <c r="AY1318">
        <v>0</v>
      </c>
      <c r="AZ1318">
        <v>0</v>
      </c>
      <c r="BA1318">
        <v>0</v>
      </c>
      <c r="BB1318">
        <v>0</v>
      </c>
      <c r="BC1318">
        <v>0</v>
      </c>
      <c r="BD1318">
        <v>0</v>
      </c>
      <c r="BE1318">
        <v>0</v>
      </c>
      <c r="BF1318">
        <v>0</v>
      </c>
      <c r="BG1318">
        <v>0</v>
      </c>
      <c r="BH1318">
        <v>1</v>
      </c>
      <c r="BI1318">
        <v>0.2</v>
      </c>
      <c r="BJ1318">
        <v>1</v>
      </c>
      <c r="BK1318">
        <v>1</v>
      </c>
      <c r="BL1318">
        <v>147.38</v>
      </c>
      <c r="BM1318">
        <v>22.11</v>
      </c>
      <c r="BN1318">
        <v>169.49</v>
      </c>
      <c r="BO1318">
        <v>169.49</v>
      </c>
      <c r="BQ1318" t="s">
        <v>1005</v>
      </c>
      <c r="BR1318" t="s">
        <v>82</v>
      </c>
      <c r="BS1318" t="s">
        <v>500</v>
      </c>
      <c r="BY1318">
        <v>5019.66</v>
      </c>
      <c r="CC1318" t="s">
        <v>1003</v>
      </c>
      <c r="CD1318">
        <v>4449</v>
      </c>
      <c r="CE1318" t="s">
        <v>134</v>
      </c>
      <c r="CI1318">
        <v>1</v>
      </c>
      <c r="CJ1318" t="s">
        <v>500</v>
      </c>
      <c r="CK1318">
        <v>23</v>
      </c>
      <c r="CL1318" t="s">
        <v>87</v>
      </c>
    </row>
    <row r="1319" spans="1:90" x14ac:dyDescent="0.3">
      <c r="A1319" t="s">
        <v>72</v>
      </c>
      <c r="B1319" t="s">
        <v>73</v>
      </c>
      <c r="C1319" t="s">
        <v>74</v>
      </c>
      <c r="E1319" t="str">
        <f>"080069813881"</f>
        <v>080069813881</v>
      </c>
      <c r="F1319" s="3">
        <v>46001</v>
      </c>
      <c r="G1319">
        <v>202609</v>
      </c>
      <c r="H1319" t="s">
        <v>75</v>
      </c>
      <c r="I1319" t="s">
        <v>76</v>
      </c>
      <c r="J1319" t="s">
        <v>77</v>
      </c>
      <c r="K1319" t="s">
        <v>78</v>
      </c>
      <c r="L1319" t="s">
        <v>202</v>
      </c>
      <c r="M1319" t="s">
        <v>203</v>
      </c>
      <c r="N1319" t="s">
        <v>204</v>
      </c>
      <c r="O1319" t="s">
        <v>89</v>
      </c>
      <c r="P1319" t="str">
        <f>"4170072830                    "</f>
        <v xml:space="preserve">4170072830                    </v>
      </c>
      <c r="Q1319">
        <v>0</v>
      </c>
      <c r="R1319">
        <v>0</v>
      </c>
      <c r="S1319">
        <v>0</v>
      </c>
      <c r="T1319">
        <v>0</v>
      </c>
      <c r="U1319">
        <v>0</v>
      </c>
      <c r="V1319">
        <v>0</v>
      </c>
      <c r="W1319">
        <v>0</v>
      </c>
      <c r="X1319">
        <v>0</v>
      </c>
      <c r="Y1319">
        <v>0</v>
      </c>
      <c r="Z1319">
        <v>0</v>
      </c>
      <c r="AA1319">
        <v>0</v>
      </c>
      <c r="AB1319">
        <v>0</v>
      </c>
      <c r="AC1319">
        <v>0</v>
      </c>
      <c r="AD1319">
        <v>0</v>
      </c>
      <c r="AE1319">
        <v>0</v>
      </c>
      <c r="AF1319">
        <v>0</v>
      </c>
      <c r="AG1319">
        <v>0</v>
      </c>
      <c r="AH1319">
        <v>0</v>
      </c>
      <c r="AI1319">
        <v>0</v>
      </c>
      <c r="AJ1319">
        <v>0</v>
      </c>
      <c r="AK1319">
        <v>0</v>
      </c>
      <c r="AL1319">
        <v>0</v>
      </c>
      <c r="AM1319">
        <v>0</v>
      </c>
      <c r="AN1319">
        <v>0</v>
      </c>
      <c r="AO1319">
        <v>0</v>
      </c>
      <c r="AP1319">
        <v>0</v>
      </c>
      <c r="AQ1319">
        <v>49.45</v>
      </c>
      <c r="AR1319">
        <v>0</v>
      </c>
      <c r="AS1319">
        <v>0</v>
      </c>
      <c r="AT1319">
        <v>0</v>
      </c>
      <c r="AU1319">
        <v>0</v>
      </c>
      <c r="AV1319">
        <v>0</v>
      </c>
      <c r="AW1319">
        <v>0</v>
      </c>
      <c r="AX1319">
        <v>0</v>
      </c>
      <c r="AY1319">
        <v>0</v>
      </c>
      <c r="AZ1319">
        <v>0</v>
      </c>
      <c r="BA1319">
        <v>0</v>
      </c>
      <c r="BB1319">
        <v>0</v>
      </c>
      <c r="BC1319">
        <v>0</v>
      </c>
      <c r="BD1319">
        <v>0</v>
      </c>
      <c r="BE1319">
        <v>0</v>
      </c>
      <c r="BF1319">
        <v>0</v>
      </c>
      <c r="BG1319">
        <v>0</v>
      </c>
      <c r="BH1319">
        <v>1</v>
      </c>
      <c r="BI1319">
        <v>0.2</v>
      </c>
      <c r="BJ1319">
        <v>1.3</v>
      </c>
      <c r="BK1319">
        <v>1.5</v>
      </c>
      <c r="BL1319">
        <v>147.38</v>
      </c>
      <c r="BM1319">
        <v>22.11</v>
      </c>
      <c r="BN1319">
        <v>169.49</v>
      </c>
      <c r="BO1319">
        <v>169.49</v>
      </c>
      <c r="BQ1319" t="s">
        <v>205</v>
      </c>
      <c r="BR1319" t="s">
        <v>82</v>
      </c>
      <c r="BS1319" s="3">
        <v>46002</v>
      </c>
      <c r="BT1319" s="4">
        <v>0.3972222222222222</v>
      </c>
      <c r="BU1319" t="s">
        <v>2030</v>
      </c>
      <c r="BV1319" t="s">
        <v>84</v>
      </c>
      <c r="BY1319">
        <v>6566.43</v>
      </c>
      <c r="CA1319">
        <v>7908245451080</v>
      </c>
      <c r="CC1319" t="s">
        <v>203</v>
      </c>
      <c r="CD1319">
        <v>2531</v>
      </c>
      <c r="CE1319" t="s">
        <v>134</v>
      </c>
      <c r="CI1319">
        <v>1</v>
      </c>
      <c r="CJ1319">
        <v>1</v>
      </c>
      <c r="CK1319">
        <v>23</v>
      </c>
      <c r="CL1319" t="s">
        <v>87</v>
      </c>
    </row>
    <row r="1320" spans="1:90" x14ac:dyDescent="0.3">
      <c r="A1320" t="s">
        <v>72</v>
      </c>
      <c r="B1320" t="s">
        <v>73</v>
      </c>
      <c r="C1320" t="s">
        <v>74</v>
      </c>
      <c r="E1320" t="str">
        <f>"080069813901"</f>
        <v>080069813901</v>
      </c>
      <c r="F1320" s="3">
        <v>46001</v>
      </c>
      <c r="G1320">
        <v>202609</v>
      </c>
      <c r="H1320" t="s">
        <v>75</v>
      </c>
      <c r="I1320" t="s">
        <v>76</v>
      </c>
      <c r="J1320" t="s">
        <v>77</v>
      </c>
      <c r="K1320" t="s">
        <v>78</v>
      </c>
      <c r="L1320" t="s">
        <v>141</v>
      </c>
      <c r="M1320" t="s">
        <v>142</v>
      </c>
      <c r="N1320" t="s">
        <v>568</v>
      </c>
      <c r="O1320" t="s">
        <v>89</v>
      </c>
      <c r="P1320" t="str">
        <f>"4170072826                    "</f>
        <v xml:space="preserve">4170072826                    </v>
      </c>
      <c r="Q1320">
        <v>0</v>
      </c>
      <c r="R1320">
        <v>0</v>
      </c>
      <c r="S1320">
        <v>0</v>
      </c>
      <c r="T1320">
        <v>0</v>
      </c>
      <c r="U1320">
        <v>0</v>
      </c>
      <c r="V1320">
        <v>0</v>
      </c>
      <c r="W1320">
        <v>0</v>
      </c>
      <c r="X1320">
        <v>0</v>
      </c>
      <c r="Y1320">
        <v>0</v>
      </c>
      <c r="Z1320">
        <v>0</v>
      </c>
      <c r="AA1320">
        <v>0</v>
      </c>
      <c r="AB1320">
        <v>0</v>
      </c>
      <c r="AC1320">
        <v>0</v>
      </c>
      <c r="AD1320">
        <v>0</v>
      </c>
      <c r="AE1320">
        <v>0</v>
      </c>
      <c r="AF1320">
        <v>0</v>
      </c>
      <c r="AG1320">
        <v>0</v>
      </c>
      <c r="AH1320">
        <v>0</v>
      </c>
      <c r="AI1320">
        <v>0</v>
      </c>
      <c r="AJ1320">
        <v>0</v>
      </c>
      <c r="AK1320">
        <v>0</v>
      </c>
      <c r="AL1320">
        <v>0</v>
      </c>
      <c r="AM1320">
        <v>0</v>
      </c>
      <c r="AN1320">
        <v>0</v>
      </c>
      <c r="AO1320">
        <v>0</v>
      </c>
      <c r="AP1320">
        <v>0</v>
      </c>
      <c r="AQ1320">
        <v>31.9</v>
      </c>
      <c r="AR1320">
        <v>0</v>
      </c>
      <c r="AS1320">
        <v>0</v>
      </c>
      <c r="AT1320">
        <v>0</v>
      </c>
      <c r="AU1320">
        <v>0</v>
      </c>
      <c r="AV1320">
        <v>0</v>
      </c>
      <c r="AW1320">
        <v>0</v>
      </c>
      <c r="AX1320">
        <v>0</v>
      </c>
      <c r="AY1320">
        <v>0</v>
      </c>
      <c r="AZ1320">
        <v>0</v>
      </c>
      <c r="BA1320">
        <v>0</v>
      </c>
      <c r="BB1320">
        <v>0</v>
      </c>
      <c r="BC1320">
        <v>0</v>
      </c>
      <c r="BD1320">
        <v>0</v>
      </c>
      <c r="BE1320">
        <v>0</v>
      </c>
      <c r="BF1320">
        <v>0</v>
      </c>
      <c r="BG1320">
        <v>0</v>
      </c>
      <c r="BH1320">
        <v>1</v>
      </c>
      <c r="BI1320">
        <v>2.1</v>
      </c>
      <c r="BJ1320">
        <v>1.3</v>
      </c>
      <c r="BK1320">
        <v>2.5</v>
      </c>
      <c r="BL1320">
        <v>95.07</v>
      </c>
      <c r="BM1320">
        <v>14.26</v>
      </c>
      <c r="BN1320">
        <v>109.33</v>
      </c>
      <c r="BO1320">
        <v>109.33</v>
      </c>
      <c r="BQ1320" t="s">
        <v>569</v>
      </c>
      <c r="BR1320" t="s">
        <v>82</v>
      </c>
      <c r="BS1320" s="3">
        <v>46002</v>
      </c>
      <c r="BT1320" s="4">
        <v>0.45347222222222222</v>
      </c>
      <c r="BU1320" t="s">
        <v>1172</v>
      </c>
      <c r="BV1320" t="s">
        <v>87</v>
      </c>
      <c r="BW1320" t="s">
        <v>246</v>
      </c>
      <c r="BX1320" t="s">
        <v>1574</v>
      </c>
      <c r="BY1320">
        <v>6692</v>
      </c>
      <c r="CA1320" t="s">
        <v>571</v>
      </c>
      <c r="CC1320" t="s">
        <v>142</v>
      </c>
      <c r="CD1320">
        <v>6056</v>
      </c>
      <c r="CE1320" t="s">
        <v>86</v>
      </c>
      <c r="CF1320" s="3">
        <v>46002</v>
      </c>
      <c r="CI1320">
        <v>1</v>
      </c>
      <c r="CJ1320">
        <v>1</v>
      </c>
      <c r="CK1320">
        <v>21</v>
      </c>
      <c r="CL1320" t="s">
        <v>87</v>
      </c>
    </row>
    <row r="1321" spans="1:90" x14ac:dyDescent="0.3">
      <c r="A1321" t="s">
        <v>72</v>
      </c>
      <c r="B1321" t="s">
        <v>73</v>
      </c>
      <c r="C1321" t="s">
        <v>74</v>
      </c>
      <c r="E1321" t="str">
        <f>"080069813915"</f>
        <v>080069813915</v>
      </c>
      <c r="F1321" s="3">
        <v>46001</v>
      </c>
      <c r="G1321">
        <v>202609</v>
      </c>
      <c r="H1321" t="s">
        <v>75</v>
      </c>
      <c r="I1321" t="s">
        <v>76</v>
      </c>
      <c r="J1321" t="s">
        <v>77</v>
      </c>
      <c r="K1321" t="s">
        <v>78</v>
      </c>
      <c r="L1321" t="s">
        <v>265</v>
      </c>
      <c r="M1321" t="s">
        <v>266</v>
      </c>
      <c r="N1321" t="s">
        <v>874</v>
      </c>
      <c r="O1321" t="s">
        <v>89</v>
      </c>
      <c r="P1321" t="str">
        <f>"4170072831                    "</f>
        <v xml:space="preserve">4170072831                    </v>
      </c>
      <c r="Q1321">
        <v>0</v>
      </c>
      <c r="R1321">
        <v>0</v>
      </c>
      <c r="S1321">
        <v>0</v>
      </c>
      <c r="T1321">
        <v>0</v>
      </c>
      <c r="U1321">
        <v>0</v>
      </c>
      <c r="V1321">
        <v>0</v>
      </c>
      <c r="W1321">
        <v>0</v>
      </c>
      <c r="X1321">
        <v>0</v>
      </c>
      <c r="Y1321">
        <v>0</v>
      </c>
      <c r="Z1321">
        <v>0</v>
      </c>
      <c r="AA1321">
        <v>0</v>
      </c>
      <c r="AB1321">
        <v>0</v>
      </c>
      <c r="AC1321">
        <v>0</v>
      </c>
      <c r="AD1321">
        <v>0</v>
      </c>
      <c r="AE1321">
        <v>0</v>
      </c>
      <c r="AF1321">
        <v>0</v>
      </c>
      <c r="AG1321">
        <v>0</v>
      </c>
      <c r="AH1321">
        <v>0</v>
      </c>
      <c r="AI1321">
        <v>0</v>
      </c>
      <c r="AJ1321">
        <v>0</v>
      </c>
      <c r="AK1321">
        <v>0</v>
      </c>
      <c r="AL1321">
        <v>0</v>
      </c>
      <c r="AM1321">
        <v>0</v>
      </c>
      <c r="AN1321">
        <v>0</v>
      </c>
      <c r="AO1321">
        <v>0</v>
      </c>
      <c r="AP1321">
        <v>0</v>
      </c>
      <c r="AQ1321">
        <v>19.940000000000001</v>
      </c>
      <c r="AR1321">
        <v>0</v>
      </c>
      <c r="AS1321">
        <v>0</v>
      </c>
      <c r="AT1321">
        <v>0</v>
      </c>
      <c r="AU1321">
        <v>0</v>
      </c>
      <c r="AV1321">
        <v>0</v>
      </c>
      <c r="AW1321">
        <v>0</v>
      </c>
      <c r="AX1321">
        <v>0</v>
      </c>
      <c r="AY1321">
        <v>0</v>
      </c>
      <c r="AZ1321">
        <v>0</v>
      </c>
      <c r="BA1321">
        <v>0</v>
      </c>
      <c r="BB1321">
        <v>0</v>
      </c>
      <c r="BC1321">
        <v>0</v>
      </c>
      <c r="BD1321">
        <v>0</v>
      </c>
      <c r="BE1321">
        <v>0</v>
      </c>
      <c r="BF1321">
        <v>0</v>
      </c>
      <c r="BG1321">
        <v>0</v>
      </c>
      <c r="BH1321">
        <v>1</v>
      </c>
      <c r="BI1321">
        <v>1</v>
      </c>
      <c r="BJ1321">
        <v>0.2</v>
      </c>
      <c r="BK1321">
        <v>1</v>
      </c>
      <c r="BL1321">
        <v>59.42</v>
      </c>
      <c r="BM1321">
        <v>8.91</v>
      </c>
      <c r="BN1321">
        <v>68.33</v>
      </c>
      <c r="BO1321">
        <v>68.33</v>
      </c>
      <c r="BQ1321" t="s">
        <v>875</v>
      </c>
      <c r="BR1321" t="s">
        <v>82</v>
      </c>
      <c r="BS1321" s="3">
        <v>46002</v>
      </c>
      <c r="BT1321" s="4">
        <v>0.34861111111111109</v>
      </c>
      <c r="BU1321" t="s">
        <v>876</v>
      </c>
      <c r="BV1321" t="s">
        <v>84</v>
      </c>
      <c r="BY1321">
        <v>1200</v>
      </c>
      <c r="CA1321" t="s">
        <v>417</v>
      </c>
      <c r="CC1321" t="s">
        <v>266</v>
      </c>
      <c r="CD1321">
        <v>1459</v>
      </c>
      <c r="CE1321" t="s">
        <v>134</v>
      </c>
      <c r="CF1321" s="3">
        <v>46003</v>
      </c>
      <c r="CI1321">
        <v>1</v>
      </c>
      <c r="CJ1321">
        <v>1</v>
      </c>
      <c r="CK1321">
        <v>22</v>
      </c>
      <c r="CL1321" t="s">
        <v>87</v>
      </c>
    </row>
    <row r="1322" spans="1:90" x14ac:dyDescent="0.3">
      <c r="A1322" t="s">
        <v>72</v>
      </c>
      <c r="B1322" t="s">
        <v>73</v>
      </c>
      <c r="C1322" t="s">
        <v>74</v>
      </c>
      <c r="E1322" t="str">
        <f>"080069813945"</f>
        <v>080069813945</v>
      </c>
      <c r="F1322" s="3">
        <v>46001</v>
      </c>
      <c r="G1322">
        <v>202609</v>
      </c>
      <c r="H1322" t="s">
        <v>75</v>
      </c>
      <c r="I1322" t="s">
        <v>76</v>
      </c>
      <c r="J1322" t="s">
        <v>77</v>
      </c>
      <c r="K1322" t="s">
        <v>78</v>
      </c>
      <c r="L1322" t="s">
        <v>141</v>
      </c>
      <c r="M1322" t="s">
        <v>142</v>
      </c>
      <c r="N1322" t="s">
        <v>587</v>
      </c>
      <c r="O1322" t="s">
        <v>89</v>
      </c>
      <c r="P1322" t="str">
        <f>"4170072837                    "</f>
        <v xml:space="preserve">4170072837                    </v>
      </c>
      <c r="Q1322">
        <v>0</v>
      </c>
      <c r="R1322">
        <v>0</v>
      </c>
      <c r="S1322">
        <v>0</v>
      </c>
      <c r="T1322">
        <v>0</v>
      </c>
      <c r="U1322">
        <v>0</v>
      </c>
      <c r="V1322">
        <v>0</v>
      </c>
      <c r="W1322">
        <v>0</v>
      </c>
      <c r="X1322">
        <v>0</v>
      </c>
      <c r="Y1322">
        <v>0</v>
      </c>
      <c r="Z1322">
        <v>0</v>
      </c>
      <c r="AA1322">
        <v>0</v>
      </c>
      <c r="AB1322">
        <v>0</v>
      </c>
      <c r="AC1322">
        <v>0</v>
      </c>
      <c r="AD1322">
        <v>0</v>
      </c>
      <c r="AE1322">
        <v>0</v>
      </c>
      <c r="AF1322">
        <v>0</v>
      </c>
      <c r="AG1322">
        <v>0</v>
      </c>
      <c r="AH1322">
        <v>0</v>
      </c>
      <c r="AI1322">
        <v>0</v>
      </c>
      <c r="AJ1322">
        <v>0</v>
      </c>
      <c r="AK1322">
        <v>0</v>
      </c>
      <c r="AL1322">
        <v>0</v>
      </c>
      <c r="AM1322">
        <v>0</v>
      </c>
      <c r="AN1322">
        <v>0</v>
      </c>
      <c r="AO1322">
        <v>0</v>
      </c>
      <c r="AP1322">
        <v>0</v>
      </c>
      <c r="AQ1322">
        <v>25.52</v>
      </c>
      <c r="AR1322">
        <v>0</v>
      </c>
      <c r="AS1322">
        <v>0</v>
      </c>
      <c r="AT1322">
        <v>0</v>
      </c>
      <c r="AU1322">
        <v>0</v>
      </c>
      <c r="AV1322">
        <v>0</v>
      </c>
      <c r="AW1322">
        <v>0</v>
      </c>
      <c r="AX1322">
        <v>0</v>
      </c>
      <c r="AY1322">
        <v>0</v>
      </c>
      <c r="AZ1322">
        <v>0</v>
      </c>
      <c r="BA1322">
        <v>0</v>
      </c>
      <c r="BB1322">
        <v>0</v>
      </c>
      <c r="BC1322">
        <v>0</v>
      </c>
      <c r="BD1322">
        <v>0</v>
      </c>
      <c r="BE1322">
        <v>0</v>
      </c>
      <c r="BF1322">
        <v>0</v>
      </c>
      <c r="BG1322">
        <v>0</v>
      </c>
      <c r="BH1322">
        <v>1</v>
      </c>
      <c r="BI1322">
        <v>1</v>
      </c>
      <c r="BJ1322">
        <v>0.2</v>
      </c>
      <c r="BK1322">
        <v>1</v>
      </c>
      <c r="BL1322">
        <v>76.06</v>
      </c>
      <c r="BM1322">
        <v>11.41</v>
      </c>
      <c r="BN1322">
        <v>87.47</v>
      </c>
      <c r="BO1322">
        <v>87.47</v>
      </c>
      <c r="BQ1322" t="s">
        <v>588</v>
      </c>
      <c r="BR1322" t="s">
        <v>82</v>
      </c>
      <c r="BS1322" s="3">
        <v>46002</v>
      </c>
      <c r="BT1322" s="4">
        <v>0.4201388888888889</v>
      </c>
      <c r="BU1322" t="s">
        <v>589</v>
      </c>
      <c r="BV1322" t="s">
        <v>84</v>
      </c>
      <c r="BY1322">
        <v>1200</v>
      </c>
      <c r="CA1322" t="s">
        <v>571</v>
      </c>
      <c r="CC1322" t="s">
        <v>142</v>
      </c>
      <c r="CD1322">
        <v>6001</v>
      </c>
      <c r="CE1322" t="s">
        <v>134</v>
      </c>
      <c r="CF1322" s="3">
        <v>46002</v>
      </c>
      <c r="CI1322">
        <v>1</v>
      </c>
      <c r="CJ1322">
        <v>1</v>
      </c>
      <c r="CK1322">
        <v>21</v>
      </c>
      <c r="CL1322" t="s">
        <v>87</v>
      </c>
    </row>
    <row r="1323" spans="1:90" x14ac:dyDescent="0.3">
      <c r="A1323" t="s">
        <v>72</v>
      </c>
      <c r="B1323" t="s">
        <v>73</v>
      </c>
      <c r="C1323" t="s">
        <v>74</v>
      </c>
      <c r="E1323" t="str">
        <f>"080069813947"</f>
        <v>080069813947</v>
      </c>
      <c r="F1323" s="3">
        <v>46001</v>
      </c>
      <c r="G1323">
        <v>202609</v>
      </c>
      <c r="H1323" t="s">
        <v>75</v>
      </c>
      <c r="I1323" t="s">
        <v>76</v>
      </c>
      <c r="J1323" t="s">
        <v>77</v>
      </c>
      <c r="K1323" t="s">
        <v>78</v>
      </c>
      <c r="L1323" t="s">
        <v>208</v>
      </c>
      <c r="M1323" t="s">
        <v>209</v>
      </c>
      <c r="N1323" t="s">
        <v>1756</v>
      </c>
      <c r="O1323" t="s">
        <v>89</v>
      </c>
      <c r="P1323" t="str">
        <f>"4170072806                    "</f>
        <v xml:space="preserve">4170072806                    </v>
      </c>
      <c r="Q1323">
        <v>0</v>
      </c>
      <c r="R1323">
        <v>0</v>
      </c>
      <c r="S1323">
        <v>0</v>
      </c>
      <c r="T1323">
        <v>0</v>
      </c>
      <c r="U1323">
        <v>0</v>
      </c>
      <c r="V1323">
        <v>0</v>
      </c>
      <c r="W1323">
        <v>0</v>
      </c>
      <c r="X1323">
        <v>0</v>
      </c>
      <c r="Y1323">
        <v>0</v>
      </c>
      <c r="Z1323">
        <v>0</v>
      </c>
      <c r="AA1323">
        <v>0</v>
      </c>
      <c r="AB1323">
        <v>0</v>
      </c>
      <c r="AC1323">
        <v>0</v>
      </c>
      <c r="AD1323">
        <v>0</v>
      </c>
      <c r="AE1323">
        <v>0</v>
      </c>
      <c r="AF1323">
        <v>0</v>
      </c>
      <c r="AG1323">
        <v>0</v>
      </c>
      <c r="AH1323">
        <v>0</v>
      </c>
      <c r="AI1323">
        <v>0</v>
      </c>
      <c r="AJ1323">
        <v>0</v>
      </c>
      <c r="AK1323">
        <v>0</v>
      </c>
      <c r="AL1323">
        <v>0</v>
      </c>
      <c r="AM1323">
        <v>0</v>
      </c>
      <c r="AN1323">
        <v>0</v>
      </c>
      <c r="AO1323">
        <v>0</v>
      </c>
      <c r="AP1323">
        <v>0</v>
      </c>
      <c r="AQ1323">
        <v>25.52</v>
      </c>
      <c r="AR1323">
        <v>0</v>
      </c>
      <c r="AS1323">
        <v>0</v>
      </c>
      <c r="AT1323">
        <v>0</v>
      </c>
      <c r="AU1323">
        <v>0</v>
      </c>
      <c r="AV1323">
        <v>0</v>
      </c>
      <c r="AW1323">
        <v>0</v>
      </c>
      <c r="AX1323">
        <v>0</v>
      </c>
      <c r="AY1323">
        <v>0</v>
      </c>
      <c r="AZ1323">
        <v>0</v>
      </c>
      <c r="BA1323">
        <v>0</v>
      </c>
      <c r="BB1323">
        <v>0</v>
      </c>
      <c r="BC1323">
        <v>0</v>
      </c>
      <c r="BD1323">
        <v>0</v>
      </c>
      <c r="BE1323">
        <v>0</v>
      </c>
      <c r="BF1323">
        <v>0</v>
      </c>
      <c r="BG1323">
        <v>0</v>
      </c>
      <c r="BH1323">
        <v>1</v>
      </c>
      <c r="BI1323">
        <v>1.4</v>
      </c>
      <c r="BJ1323">
        <v>1</v>
      </c>
      <c r="BK1323">
        <v>1.5</v>
      </c>
      <c r="BL1323">
        <v>76.06</v>
      </c>
      <c r="BM1323">
        <v>11.41</v>
      </c>
      <c r="BN1323">
        <v>87.47</v>
      </c>
      <c r="BO1323">
        <v>87.47</v>
      </c>
      <c r="BQ1323" t="s">
        <v>1757</v>
      </c>
      <c r="BR1323" t="s">
        <v>82</v>
      </c>
      <c r="BS1323" s="3">
        <v>46002</v>
      </c>
      <c r="BT1323" s="4">
        <v>0.4201388888888889</v>
      </c>
      <c r="BU1323" t="s">
        <v>2031</v>
      </c>
      <c r="BV1323" t="s">
        <v>84</v>
      </c>
      <c r="BY1323">
        <v>4857.6000000000004</v>
      </c>
      <c r="CA1323">
        <v>9208135296085</v>
      </c>
      <c r="CC1323" t="s">
        <v>209</v>
      </c>
      <c r="CD1323" s="5" t="s">
        <v>213</v>
      </c>
      <c r="CE1323" t="s">
        <v>86</v>
      </c>
      <c r="CF1323" s="3">
        <v>46002</v>
      </c>
      <c r="CI1323">
        <v>1</v>
      </c>
      <c r="CJ1323">
        <v>1</v>
      </c>
      <c r="CK1323">
        <v>21</v>
      </c>
      <c r="CL1323" t="s">
        <v>87</v>
      </c>
    </row>
    <row r="1324" spans="1:90" x14ac:dyDescent="0.3">
      <c r="A1324" t="s">
        <v>72</v>
      </c>
      <c r="B1324" t="s">
        <v>73</v>
      </c>
      <c r="C1324" t="s">
        <v>74</v>
      </c>
      <c r="E1324" t="str">
        <f>"080069813978"</f>
        <v>080069813978</v>
      </c>
      <c r="F1324" s="3">
        <v>46001</v>
      </c>
      <c r="G1324">
        <v>202609</v>
      </c>
      <c r="H1324" t="s">
        <v>75</v>
      </c>
      <c r="I1324" t="s">
        <v>76</v>
      </c>
      <c r="J1324" t="s">
        <v>77</v>
      </c>
      <c r="K1324" t="s">
        <v>78</v>
      </c>
      <c r="L1324" t="s">
        <v>208</v>
      </c>
      <c r="M1324" t="s">
        <v>209</v>
      </c>
      <c r="N1324" t="s">
        <v>1174</v>
      </c>
      <c r="O1324" t="s">
        <v>89</v>
      </c>
      <c r="P1324" t="str">
        <f>"4170072809                    "</f>
        <v xml:space="preserve">4170072809                    </v>
      </c>
      <c r="Q1324">
        <v>0</v>
      </c>
      <c r="R1324">
        <v>0</v>
      </c>
      <c r="S1324">
        <v>0</v>
      </c>
      <c r="T1324">
        <v>0</v>
      </c>
      <c r="U1324">
        <v>0</v>
      </c>
      <c r="V1324">
        <v>0</v>
      </c>
      <c r="W1324">
        <v>0</v>
      </c>
      <c r="X1324">
        <v>0</v>
      </c>
      <c r="Y1324">
        <v>0</v>
      </c>
      <c r="Z1324">
        <v>0</v>
      </c>
      <c r="AA1324">
        <v>0</v>
      </c>
      <c r="AB1324">
        <v>0</v>
      </c>
      <c r="AC1324">
        <v>0</v>
      </c>
      <c r="AD1324">
        <v>0</v>
      </c>
      <c r="AE1324">
        <v>0</v>
      </c>
      <c r="AF1324">
        <v>0</v>
      </c>
      <c r="AG1324">
        <v>0</v>
      </c>
      <c r="AH1324">
        <v>0</v>
      </c>
      <c r="AI1324">
        <v>0</v>
      </c>
      <c r="AJ1324">
        <v>0</v>
      </c>
      <c r="AK1324">
        <v>0</v>
      </c>
      <c r="AL1324">
        <v>0</v>
      </c>
      <c r="AM1324">
        <v>0</v>
      </c>
      <c r="AN1324">
        <v>0</v>
      </c>
      <c r="AO1324">
        <v>0</v>
      </c>
      <c r="AP1324">
        <v>0</v>
      </c>
      <c r="AQ1324">
        <v>25.52</v>
      </c>
      <c r="AR1324">
        <v>0</v>
      </c>
      <c r="AS1324">
        <v>0</v>
      </c>
      <c r="AT1324">
        <v>0</v>
      </c>
      <c r="AU1324">
        <v>0</v>
      </c>
      <c r="AV1324">
        <v>0</v>
      </c>
      <c r="AW1324">
        <v>0</v>
      </c>
      <c r="AX1324">
        <v>0</v>
      </c>
      <c r="AY1324">
        <v>0</v>
      </c>
      <c r="AZ1324">
        <v>0</v>
      </c>
      <c r="BA1324">
        <v>0</v>
      </c>
      <c r="BB1324">
        <v>0</v>
      </c>
      <c r="BC1324">
        <v>0</v>
      </c>
      <c r="BD1324">
        <v>0</v>
      </c>
      <c r="BE1324">
        <v>0</v>
      </c>
      <c r="BF1324">
        <v>0</v>
      </c>
      <c r="BG1324">
        <v>0</v>
      </c>
      <c r="BH1324">
        <v>1</v>
      </c>
      <c r="BI1324">
        <v>1</v>
      </c>
      <c r="BJ1324">
        <v>0.2</v>
      </c>
      <c r="BK1324">
        <v>1</v>
      </c>
      <c r="BL1324">
        <v>76.06</v>
      </c>
      <c r="BM1324">
        <v>11.41</v>
      </c>
      <c r="BN1324">
        <v>87.47</v>
      </c>
      <c r="BO1324">
        <v>87.47</v>
      </c>
      <c r="BQ1324" t="s">
        <v>1175</v>
      </c>
      <c r="BR1324" t="s">
        <v>82</v>
      </c>
      <c r="BS1324" s="3">
        <v>46002</v>
      </c>
      <c r="BT1324" s="4">
        <v>0.4</v>
      </c>
      <c r="BU1324" t="s">
        <v>2032</v>
      </c>
      <c r="BV1324" t="s">
        <v>84</v>
      </c>
      <c r="BY1324">
        <v>1200</v>
      </c>
      <c r="CA1324">
        <v>7104145194083</v>
      </c>
      <c r="CC1324" t="s">
        <v>209</v>
      </c>
      <c r="CD1324" s="5" t="s">
        <v>213</v>
      </c>
      <c r="CE1324" t="s">
        <v>134</v>
      </c>
      <c r="CF1324" s="3">
        <v>46002</v>
      </c>
      <c r="CI1324">
        <v>1</v>
      </c>
      <c r="CJ1324">
        <v>1</v>
      </c>
      <c r="CK1324">
        <v>21</v>
      </c>
      <c r="CL1324" t="s">
        <v>87</v>
      </c>
    </row>
    <row r="1325" spans="1:90" x14ac:dyDescent="0.3">
      <c r="A1325" t="s">
        <v>72</v>
      </c>
      <c r="B1325" t="s">
        <v>73</v>
      </c>
      <c r="C1325" t="s">
        <v>74</v>
      </c>
      <c r="E1325" t="str">
        <f>"080069813984"</f>
        <v>080069813984</v>
      </c>
      <c r="F1325" s="3">
        <v>46001</v>
      </c>
      <c r="G1325">
        <v>202609</v>
      </c>
      <c r="H1325" t="s">
        <v>75</v>
      </c>
      <c r="I1325" t="s">
        <v>76</v>
      </c>
      <c r="J1325" t="s">
        <v>77</v>
      </c>
      <c r="K1325" t="s">
        <v>78</v>
      </c>
      <c r="L1325" t="s">
        <v>265</v>
      </c>
      <c r="M1325" t="s">
        <v>266</v>
      </c>
      <c r="N1325" t="s">
        <v>2012</v>
      </c>
      <c r="O1325" t="s">
        <v>89</v>
      </c>
      <c r="P1325" t="str">
        <f>"4170072750                    "</f>
        <v xml:space="preserve">4170072750                    </v>
      </c>
      <c r="Q1325">
        <v>0</v>
      </c>
      <c r="R1325">
        <v>0</v>
      </c>
      <c r="S1325">
        <v>0</v>
      </c>
      <c r="T1325">
        <v>0</v>
      </c>
      <c r="U1325">
        <v>0</v>
      </c>
      <c r="V1325">
        <v>0</v>
      </c>
      <c r="W1325">
        <v>0</v>
      </c>
      <c r="X1325">
        <v>0</v>
      </c>
      <c r="Y1325">
        <v>0</v>
      </c>
      <c r="Z1325">
        <v>0</v>
      </c>
      <c r="AA1325">
        <v>0</v>
      </c>
      <c r="AB1325">
        <v>0</v>
      </c>
      <c r="AC1325">
        <v>0</v>
      </c>
      <c r="AD1325">
        <v>0</v>
      </c>
      <c r="AE1325">
        <v>0</v>
      </c>
      <c r="AF1325">
        <v>0</v>
      </c>
      <c r="AG1325">
        <v>0</v>
      </c>
      <c r="AH1325">
        <v>0</v>
      </c>
      <c r="AI1325">
        <v>0</v>
      </c>
      <c r="AJ1325">
        <v>0</v>
      </c>
      <c r="AK1325">
        <v>0</v>
      </c>
      <c r="AL1325">
        <v>0</v>
      </c>
      <c r="AM1325">
        <v>0</v>
      </c>
      <c r="AN1325">
        <v>0</v>
      </c>
      <c r="AO1325">
        <v>0</v>
      </c>
      <c r="AP1325">
        <v>0</v>
      </c>
      <c r="AQ1325">
        <v>19.940000000000001</v>
      </c>
      <c r="AR1325">
        <v>0</v>
      </c>
      <c r="AS1325">
        <v>0</v>
      </c>
      <c r="AT1325">
        <v>0</v>
      </c>
      <c r="AU1325">
        <v>0</v>
      </c>
      <c r="AV1325">
        <v>0</v>
      </c>
      <c r="AW1325">
        <v>0</v>
      </c>
      <c r="AX1325">
        <v>0</v>
      </c>
      <c r="AY1325">
        <v>0</v>
      </c>
      <c r="AZ1325">
        <v>0</v>
      </c>
      <c r="BA1325">
        <v>0</v>
      </c>
      <c r="BB1325">
        <v>0</v>
      </c>
      <c r="BC1325">
        <v>0</v>
      </c>
      <c r="BD1325">
        <v>0</v>
      </c>
      <c r="BE1325">
        <v>0</v>
      </c>
      <c r="BF1325">
        <v>0</v>
      </c>
      <c r="BG1325">
        <v>0</v>
      </c>
      <c r="BH1325">
        <v>1</v>
      </c>
      <c r="BI1325">
        <v>1.5</v>
      </c>
      <c r="BJ1325">
        <v>1</v>
      </c>
      <c r="BK1325">
        <v>2</v>
      </c>
      <c r="BL1325">
        <v>59.42</v>
      </c>
      <c r="BM1325">
        <v>8.91</v>
      </c>
      <c r="BN1325">
        <v>68.33</v>
      </c>
      <c r="BO1325">
        <v>68.33</v>
      </c>
      <c r="BQ1325" t="s">
        <v>2013</v>
      </c>
      <c r="BR1325" t="s">
        <v>82</v>
      </c>
      <c r="BS1325" s="3">
        <v>46002</v>
      </c>
      <c r="BT1325" s="4">
        <v>0.35694444444444445</v>
      </c>
      <c r="BU1325" t="s">
        <v>2014</v>
      </c>
      <c r="BV1325" t="s">
        <v>84</v>
      </c>
      <c r="BY1325">
        <v>5096</v>
      </c>
      <c r="CA1325" t="s">
        <v>417</v>
      </c>
      <c r="CC1325" t="s">
        <v>266</v>
      </c>
      <c r="CD1325">
        <v>1459</v>
      </c>
      <c r="CE1325" t="s">
        <v>86</v>
      </c>
      <c r="CF1325" s="3">
        <v>46003</v>
      </c>
      <c r="CI1325">
        <v>1</v>
      </c>
      <c r="CJ1325">
        <v>1</v>
      </c>
      <c r="CK1325">
        <v>22</v>
      </c>
      <c r="CL1325" t="s">
        <v>87</v>
      </c>
    </row>
    <row r="1326" spans="1:90" x14ac:dyDescent="0.3">
      <c r="A1326" t="s">
        <v>72</v>
      </c>
      <c r="B1326" t="s">
        <v>73</v>
      </c>
      <c r="C1326" t="s">
        <v>74</v>
      </c>
      <c r="E1326" t="str">
        <f>"080069814006"</f>
        <v>080069814006</v>
      </c>
      <c r="F1326" s="3">
        <v>46001</v>
      </c>
      <c r="G1326">
        <v>202609</v>
      </c>
      <c r="H1326" t="s">
        <v>75</v>
      </c>
      <c r="I1326" t="s">
        <v>76</v>
      </c>
      <c r="J1326" t="s">
        <v>77</v>
      </c>
      <c r="K1326" t="s">
        <v>78</v>
      </c>
      <c r="L1326" t="s">
        <v>202</v>
      </c>
      <c r="M1326" t="s">
        <v>203</v>
      </c>
      <c r="N1326" t="s">
        <v>204</v>
      </c>
      <c r="O1326" t="s">
        <v>89</v>
      </c>
      <c r="P1326" t="str">
        <f>"4170072792                    "</f>
        <v xml:space="preserve">4170072792                    </v>
      </c>
      <c r="Q1326">
        <v>0</v>
      </c>
      <c r="R1326">
        <v>0</v>
      </c>
      <c r="S1326">
        <v>0</v>
      </c>
      <c r="T1326">
        <v>0</v>
      </c>
      <c r="U1326">
        <v>0</v>
      </c>
      <c r="V1326">
        <v>0</v>
      </c>
      <c r="W1326">
        <v>0</v>
      </c>
      <c r="X1326">
        <v>0</v>
      </c>
      <c r="Y1326">
        <v>0</v>
      </c>
      <c r="Z1326">
        <v>0</v>
      </c>
      <c r="AA1326">
        <v>0</v>
      </c>
      <c r="AB1326">
        <v>0</v>
      </c>
      <c r="AC1326">
        <v>0</v>
      </c>
      <c r="AD1326">
        <v>0</v>
      </c>
      <c r="AE1326">
        <v>0</v>
      </c>
      <c r="AF1326">
        <v>0</v>
      </c>
      <c r="AG1326">
        <v>0</v>
      </c>
      <c r="AH1326">
        <v>0</v>
      </c>
      <c r="AI1326">
        <v>0</v>
      </c>
      <c r="AJ1326">
        <v>0</v>
      </c>
      <c r="AK1326">
        <v>0</v>
      </c>
      <c r="AL1326">
        <v>0</v>
      </c>
      <c r="AM1326">
        <v>0</v>
      </c>
      <c r="AN1326">
        <v>0</v>
      </c>
      <c r="AO1326">
        <v>0</v>
      </c>
      <c r="AP1326">
        <v>0</v>
      </c>
      <c r="AQ1326">
        <v>49.45</v>
      </c>
      <c r="AR1326">
        <v>0</v>
      </c>
      <c r="AS1326">
        <v>0</v>
      </c>
      <c r="AT1326">
        <v>0</v>
      </c>
      <c r="AU1326">
        <v>0</v>
      </c>
      <c r="AV1326">
        <v>0</v>
      </c>
      <c r="AW1326">
        <v>0</v>
      </c>
      <c r="AX1326">
        <v>0</v>
      </c>
      <c r="AY1326">
        <v>0</v>
      </c>
      <c r="AZ1326">
        <v>0</v>
      </c>
      <c r="BA1326">
        <v>0</v>
      </c>
      <c r="BB1326">
        <v>0</v>
      </c>
      <c r="BC1326">
        <v>0</v>
      </c>
      <c r="BD1326">
        <v>0</v>
      </c>
      <c r="BE1326">
        <v>0</v>
      </c>
      <c r="BF1326">
        <v>0</v>
      </c>
      <c r="BG1326">
        <v>0</v>
      </c>
      <c r="BH1326">
        <v>1</v>
      </c>
      <c r="BI1326">
        <v>0.2</v>
      </c>
      <c r="BJ1326">
        <v>0.6</v>
      </c>
      <c r="BK1326">
        <v>1</v>
      </c>
      <c r="BL1326">
        <v>147.38</v>
      </c>
      <c r="BM1326">
        <v>22.11</v>
      </c>
      <c r="BN1326">
        <v>169.49</v>
      </c>
      <c r="BO1326">
        <v>169.49</v>
      </c>
      <c r="BQ1326" t="s">
        <v>205</v>
      </c>
      <c r="BR1326" t="s">
        <v>82</v>
      </c>
      <c r="BS1326" s="3">
        <v>46002</v>
      </c>
      <c r="BT1326" s="4">
        <v>0.39791666666666664</v>
      </c>
      <c r="BU1326" t="s">
        <v>1235</v>
      </c>
      <c r="BV1326" t="s">
        <v>84</v>
      </c>
      <c r="BY1326">
        <v>2764.3</v>
      </c>
      <c r="CA1326">
        <v>7908245451080</v>
      </c>
      <c r="CC1326" t="s">
        <v>203</v>
      </c>
      <c r="CD1326">
        <v>2531</v>
      </c>
      <c r="CE1326" t="s">
        <v>134</v>
      </c>
      <c r="CI1326">
        <v>1</v>
      </c>
      <c r="CJ1326">
        <v>1</v>
      </c>
      <c r="CK1326">
        <v>23</v>
      </c>
      <c r="CL1326" t="s">
        <v>87</v>
      </c>
    </row>
    <row r="1327" spans="1:90" x14ac:dyDescent="0.3">
      <c r="A1327" t="s">
        <v>72</v>
      </c>
      <c r="B1327" t="s">
        <v>73</v>
      </c>
      <c r="C1327" t="s">
        <v>74</v>
      </c>
      <c r="E1327" t="str">
        <f>"080069814035"</f>
        <v>080069814035</v>
      </c>
      <c r="F1327" s="3">
        <v>46001</v>
      </c>
      <c r="G1327">
        <v>202609</v>
      </c>
      <c r="H1327" t="s">
        <v>75</v>
      </c>
      <c r="I1327" t="s">
        <v>76</v>
      </c>
      <c r="J1327" t="s">
        <v>77</v>
      </c>
      <c r="K1327" t="s">
        <v>78</v>
      </c>
      <c r="L1327" t="s">
        <v>535</v>
      </c>
      <c r="M1327" t="s">
        <v>535</v>
      </c>
      <c r="N1327" t="s">
        <v>556</v>
      </c>
      <c r="O1327" t="s">
        <v>89</v>
      </c>
      <c r="P1327" t="str">
        <f>"4170072787                    "</f>
        <v xml:space="preserve">4170072787                    </v>
      </c>
      <c r="Q1327">
        <v>0</v>
      </c>
      <c r="R1327">
        <v>0</v>
      </c>
      <c r="S1327">
        <v>0</v>
      </c>
      <c r="T1327">
        <v>0</v>
      </c>
      <c r="U1327">
        <v>0</v>
      </c>
      <c r="V1327">
        <v>0</v>
      </c>
      <c r="W1327">
        <v>0</v>
      </c>
      <c r="X1327">
        <v>0</v>
      </c>
      <c r="Y1327">
        <v>0</v>
      </c>
      <c r="Z1327">
        <v>0</v>
      </c>
      <c r="AA1327">
        <v>0</v>
      </c>
      <c r="AB1327">
        <v>0</v>
      </c>
      <c r="AC1327">
        <v>0</v>
      </c>
      <c r="AD1327">
        <v>0</v>
      </c>
      <c r="AE1327">
        <v>0</v>
      </c>
      <c r="AF1327">
        <v>0</v>
      </c>
      <c r="AG1327">
        <v>0</v>
      </c>
      <c r="AH1327">
        <v>0</v>
      </c>
      <c r="AI1327">
        <v>0</v>
      </c>
      <c r="AJ1327">
        <v>0</v>
      </c>
      <c r="AK1327">
        <v>0</v>
      </c>
      <c r="AL1327">
        <v>0</v>
      </c>
      <c r="AM1327">
        <v>0</v>
      </c>
      <c r="AN1327">
        <v>0</v>
      </c>
      <c r="AO1327">
        <v>0</v>
      </c>
      <c r="AP1327">
        <v>0</v>
      </c>
      <c r="AQ1327">
        <v>49.45</v>
      </c>
      <c r="AR1327">
        <v>0</v>
      </c>
      <c r="AS1327">
        <v>0</v>
      </c>
      <c r="AT1327">
        <v>0</v>
      </c>
      <c r="AU1327">
        <v>0</v>
      </c>
      <c r="AV1327">
        <v>0</v>
      </c>
      <c r="AW1327">
        <v>0</v>
      </c>
      <c r="AX1327">
        <v>0</v>
      </c>
      <c r="AY1327">
        <v>0</v>
      </c>
      <c r="AZ1327">
        <v>0</v>
      </c>
      <c r="BA1327">
        <v>0</v>
      </c>
      <c r="BB1327">
        <v>0</v>
      </c>
      <c r="BC1327">
        <v>0</v>
      </c>
      <c r="BD1327">
        <v>0</v>
      </c>
      <c r="BE1327">
        <v>0</v>
      </c>
      <c r="BF1327">
        <v>0</v>
      </c>
      <c r="BG1327">
        <v>0</v>
      </c>
      <c r="BH1327">
        <v>1</v>
      </c>
      <c r="BI1327">
        <v>0.8</v>
      </c>
      <c r="BJ1327">
        <v>1.2</v>
      </c>
      <c r="BK1327">
        <v>1.5</v>
      </c>
      <c r="BL1327">
        <v>147.38</v>
      </c>
      <c r="BM1327">
        <v>22.11</v>
      </c>
      <c r="BN1327">
        <v>169.49</v>
      </c>
      <c r="BO1327">
        <v>169.49</v>
      </c>
      <c r="BQ1327" t="s">
        <v>557</v>
      </c>
      <c r="BR1327" t="s">
        <v>82</v>
      </c>
      <c r="BS1327" s="3">
        <v>46002</v>
      </c>
      <c r="BT1327" s="4">
        <v>0.54513888888888884</v>
      </c>
      <c r="BU1327" t="s">
        <v>2033</v>
      </c>
      <c r="BV1327" t="s">
        <v>84</v>
      </c>
      <c r="BY1327">
        <v>6143.08</v>
      </c>
      <c r="CA1327" t="s">
        <v>1359</v>
      </c>
      <c r="CC1327" t="s">
        <v>535</v>
      </c>
      <c r="CD1327">
        <v>7646</v>
      </c>
      <c r="CE1327" t="s">
        <v>86</v>
      </c>
      <c r="CI1327">
        <v>1</v>
      </c>
      <c r="CJ1327">
        <v>1</v>
      </c>
      <c r="CK1327">
        <v>23</v>
      </c>
      <c r="CL1327" t="s">
        <v>87</v>
      </c>
    </row>
    <row r="1328" spans="1:90" x14ac:dyDescent="0.3">
      <c r="A1328" t="s">
        <v>72</v>
      </c>
      <c r="B1328" t="s">
        <v>73</v>
      </c>
      <c r="C1328" t="s">
        <v>74</v>
      </c>
      <c r="E1328" t="str">
        <f>"080069814101"</f>
        <v>080069814101</v>
      </c>
      <c r="F1328" s="3">
        <v>46001</v>
      </c>
      <c r="G1328">
        <v>202609</v>
      </c>
      <c r="H1328" t="s">
        <v>75</v>
      </c>
      <c r="I1328" t="s">
        <v>76</v>
      </c>
      <c r="J1328" t="s">
        <v>77</v>
      </c>
      <c r="K1328" t="s">
        <v>78</v>
      </c>
      <c r="L1328" t="s">
        <v>94</v>
      </c>
      <c r="M1328" t="s">
        <v>95</v>
      </c>
      <c r="N1328" t="s">
        <v>936</v>
      </c>
      <c r="O1328" t="s">
        <v>89</v>
      </c>
      <c r="P1328" t="str">
        <f>"4170072838                    "</f>
        <v xml:space="preserve">4170072838                    </v>
      </c>
      <c r="Q1328">
        <v>0</v>
      </c>
      <c r="R1328">
        <v>0</v>
      </c>
      <c r="S1328">
        <v>0</v>
      </c>
      <c r="T1328">
        <v>0</v>
      </c>
      <c r="U1328">
        <v>0</v>
      </c>
      <c r="V1328">
        <v>0</v>
      </c>
      <c r="W1328">
        <v>0</v>
      </c>
      <c r="X1328">
        <v>0</v>
      </c>
      <c r="Y1328">
        <v>0</v>
      </c>
      <c r="Z1328">
        <v>0</v>
      </c>
      <c r="AA1328">
        <v>0</v>
      </c>
      <c r="AB1328">
        <v>0</v>
      </c>
      <c r="AC1328">
        <v>0</v>
      </c>
      <c r="AD1328">
        <v>0</v>
      </c>
      <c r="AE1328">
        <v>0</v>
      </c>
      <c r="AF1328">
        <v>0</v>
      </c>
      <c r="AG1328">
        <v>0</v>
      </c>
      <c r="AH1328">
        <v>0</v>
      </c>
      <c r="AI1328">
        <v>0</v>
      </c>
      <c r="AJ1328">
        <v>0</v>
      </c>
      <c r="AK1328">
        <v>0</v>
      </c>
      <c r="AL1328">
        <v>0</v>
      </c>
      <c r="AM1328">
        <v>0</v>
      </c>
      <c r="AN1328">
        <v>0</v>
      </c>
      <c r="AO1328">
        <v>0</v>
      </c>
      <c r="AP1328">
        <v>0</v>
      </c>
      <c r="AQ1328">
        <v>25.52</v>
      </c>
      <c r="AR1328">
        <v>0</v>
      </c>
      <c r="AS1328">
        <v>0</v>
      </c>
      <c r="AT1328">
        <v>0</v>
      </c>
      <c r="AU1328">
        <v>0</v>
      </c>
      <c r="AV1328">
        <v>0</v>
      </c>
      <c r="AW1328">
        <v>0</v>
      </c>
      <c r="AX1328">
        <v>0</v>
      </c>
      <c r="AY1328">
        <v>0</v>
      </c>
      <c r="AZ1328">
        <v>0</v>
      </c>
      <c r="BA1328">
        <v>0</v>
      </c>
      <c r="BB1328">
        <v>0</v>
      </c>
      <c r="BC1328">
        <v>0</v>
      </c>
      <c r="BD1328">
        <v>0</v>
      </c>
      <c r="BE1328">
        <v>0</v>
      </c>
      <c r="BF1328">
        <v>0</v>
      </c>
      <c r="BG1328">
        <v>0</v>
      </c>
      <c r="BH1328">
        <v>1</v>
      </c>
      <c r="BI1328">
        <v>1</v>
      </c>
      <c r="BJ1328">
        <v>1.2</v>
      </c>
      <c r="BK1328">
        <v>1.5</v>
      </c>
      <c r="BL1328">
        <v>76.06</v>
      </c>
      <c r="BM1328">
        <v>11.41</v>
      </c>
      <c r="BN1328">
        <v>87.47</v>
      </c>
      <c r="BO1328">
        <v>87.47</v>
      </c>
      <c r="BQ1328" t="s">
        <v>937</v>
      </c>
      <c r="BR1328" t="s">
        <v>82</v>
      </c>
      <c r="BS1328" s="3">
        <v>46002</v>
      </c>
      <c r="BT1328" s="4">
        <v>0.41180555555555554</v>
      </c>
      <c r="BU1328" t="s">
        <v>1910</v>
      </c>
      <c r="BV1328" t="s">
        <v>84</v>
      </c>
      <c r="BY1328">
        <v>5800</v>
      </c>
      <c r="CA1328" t="s">
        <v>929</v>
      </c>
      <c r="CC1328" t="s">
        <v>95</v>
      </c>
      <c r="CD1328">
        <v>3610</v>
      </c>
      <c r="CE1328" t="s">
        <v>86</v>
      </c>
      <c r="CF1328" s="3">
        <v>46002</v>
      </c>
      <c r="CI1328">
        <v>1</v>
      </c>
      <c r="CJ1328">
        <v>1</v>
      </c>
      <c r="CK1328">
        <v>21</v>
      </c>
      <c r="CL1328" t="s">
        <v>87</v>
      </c>
    </row>
    <row r="1329" spans="1:90" x14ac:dyDescent="0.3">
      <c r="A1329" t="s">
        <v>72</v>
      </c>
      <c r="B1329" t="s">
        <v>73</v>
      </c>
      <c r="C1329" t="s">
        <v>74</v>
      </c>
      <c r="E1329" t="str">
        <f>"080069814342"</f>
        <v>080069814342</v>
      </c>
      <c r="F1329" s="3">
        <v>46001</v>
      </c>
      <c r="G1329">
        <v>202609</v>
      </c>
      <c r="H1329" t="s">
        <v>75</v>
      </c>
      <c r="I1329" t="s">
        <v>76</v>
      </c>
      <c r="J1329" t="s">
        <v>77</v>
      </c>
      <c r="K1329" t="s">
        <v>78</v>
      </c>
      <c r="L1329" t="s">
        <v>75</v>
      </c>
      <c r="M1329" t="s">
        <v>76</v>
      </c>
      <c r="N1329" t="s">
        <v>79</v>
      </c>
      <c r="O1329" t="s">
        <v>89</v>
      </c>
      <c r="P1329" t="str">
        <f>"4170072821                    "</f>
        <v xml:space="preserve">4170072821                    </v>
      </c>
      <c r="Q1329">
        <v>0</v>
      </c>
      <c r="R1329">
        <v>0</v>
      </c>
      <c r="S1329">
        <v>0</v>
      </c>
      <c r="T1329">
        <v>0</v>
      </c>
      <c r="U1329">
        <v>0</v>
      </c>
      <c r="V1329">
        <v>0</v>
      </c>
      <c r="W1329">
        <v>0</v>
      </c>
      <c r="X1329">
        <v>0</v>
      </c>
      <c r="Y1329">
        <v>0</v>
      </c>
      <c r="Z1329">
        <v>0</v>
      </c>
      <c r="AA1329">
        <v>0</v>
      </c>
      <c r="AB1329">
        <v>0</v>
      </c>
      <c r="AC1329">
        <v>0</v>
      </c>
      <c r="AD1329">
        <v>0</v>
      </c>
      <c r="AE1329">
        <v>0</v>
      </c>
      <c r="AF1329">
        <v>0</v>
      </c>
      <c r="AG1329">
        <v>0</v>
      </c>
      <c r="AH1329">
        <v>0</v>
      </c>
      <c r="AI1329">
        <v>0</v>
      </c>
      <c r="AJ1329">
        <v>0</v>
      </c>
      <c r="AK1329">
        <v>0</v>
      </c>
      <c r="AL1329">
        <v>0</v>
      </c>
      <c r="AM1329">
        <v>0</v>
      </c>
      <c r="AN1329">
        <v>0</v>
      </c>
      <c r="AO1329">
        <v>0</v>
      </c>
      <c r="AP1329">
        <v>0</v>
      </c>
      <c r="AQ1329">
        <v>19.940000000000001</v>
      </c>
      <c r="AR1329">
        <v>0</v>
      </c>
      <c r="AS1329">
        <v>0</v>
      </c>
      <c r="AT1329">
        <v>0</v>
      </c>
      <c r="AU1329">
        <v>0</v>
      </c>
      <c r="AV1329">
        <v>0</v>
      </c>
      <c r="AW1329">
        <v>0</v>
      </c>
      <c r="AX1329">
        <v>0</v>
      </c>
      <c r="AY1329">
        <v>0</v>
      </c>
      <c r="AZ1329">
        <v>0</v>
      </c>
      <c r="BA1329">
        <v>0</v>
      </c>
      <c r="BB1329">
        <v>0</v>
      </c>
      <c r="BC1329">
        <v>0</v>
      </c>
      <c r="BD1329">
        <v>0</v>
      </c>
      <c r="BE1329">
        <v>0</v>
      </c>
      <c r="BF1329">
        <v>0</v>
      </c>
      <c r="BG1329">
        <v>0</v>
      </c>
      <c r="BH1329">
        <v>1</v>
      </c>
      <c r="BI1329">
        <v>1</v>
      </c>
      <c r="BJ1329">
        <v>0.2</v>
      </c>
      <c r="BK1329">
        <v>1</v>
      </c>
      <c r="BL1329">
        <v>59.42</v>
      </c>
      <c r="BM1329">
        <v>8.91</v>
      </c>
      <c r="BN1329">
        <v>68.33</v>
      </c>
      <c r="BO1329">
        <v>68.33</v>
      </c>
      <c r="BQ1329" t="s">
        <v>81</v>
      </c>
      <c r="BR1329" t="s">
        <v>82</v>
      </c>
      <c r="BS1329" s="3">
        <v>46002</v>
      </c>
      <c r="BT1329" s="4">
        <v>0.41944444444444445</v>
      </c>
      <c r="BU1329" t="s">
        <v>2034</v>
      </c>
      <c r="BV1329" t="s">
        <v>84</v>
      </c>
      <c r="BY1329">
        <v>1200</v>
      </c>
      <c r="CA1329" t="s">
        <v>85</v>
      </c>
      <c r="CC1329" t="s">
        <v>76</v>
      </c>
      <c r="CD1329">
        <v>1619</v>
      </c>
      <c r="CE1329" t="s">
        <v>134</v>
      </c>
      <c r="CF1329" s="3">
        <v>46003</v>
      </c>
      <c r="CI1329">
        <v>1</v>
      </c>
      <c r="CJ1329">
        <v>1</v>
      </c>
      <c r="CK1329">
        <v>22</v>
      </c>
      <c r="CL1329" t="s">
        <v>87</v>
      </c>
    </row>
    <row r="1330" spans="1:90" x14ac:dyDescent="0.3">
      <c r="A1330" t="s">
        <v>72</v>
      </c>
      <c r="B1330" t="s">
        <v>73</v>
      </c>
      <c r="C1330" t="s">
        <v>74</v>
      </c>
      <c r="E1330" t="str">
        <f>"080069814358"</f>
        <v>080069814358</v>
      </c>
      <c r="F1330" s="3">
        <v>46001</v>
      </c>
      <c r="G1330">
        <v>202609</v>
      </c>
      <c r="H1330" t="s">
        <v>75</v>
      </c>
      <c r="I1330" t="s">
        <v>76</v>
      </c>
      <c r="J1330" t="s">
        <v>77</v>
      </c>
      <c r="K1330" t="s">
        <v>78</v>
      </c>
      <c r="L1330" t="s">
        <v>141</v>
      </c>
      <c r="M1330" t="s">
        <v>142</v>
      </c>
      <c r="N1330" t="s">
        <v>1714</v>
      </c>
      <c r="O1330" t="s">
        <v>89</v>
      </c>
      <c r="P1330" t="str">
        <f>"4170072755                    "</f>
        <v xml:space="preserve">4170072755                    </v>
      </c>
      <c r="Q1330">
        <v>0</v>
      </c>
      <c r="R1330">
        <v>0</v>
      </c>
      <c r="S1330">
        <v>0</v>
      </c>
      <c r="T1330">
        <v>0</v>
      </c>
      <c r="U1330">
        <v>0</v>
      </c>
      <c r="V1330">
        <v>0</v>
      </c>
      <c r="W1330">
        <v>0</v>
      </c>
      <c r="X1330">
        <v>0</v>
      </c>
      <c r="Y1330">
        <v>0</v>
      </c>
      <c r="Z1330">
        <v>0</v>
      </c>
      <c r="AA1330">
        <v>0</v>
      </c>
      <c r="AB1330">
        <v>0</v>
      </c>
      <c r="AC1330">
        <v>0</v>
      </c>
      <c r="AD1330">
        <v>0</v>
      </c>
      <c r="AE1330">
        <v>0</v>
      </c>
      <c r="AF1330">
        <v>0</v>
      </c>
      <c r="AG1330">
        <v>0</v>
      </c>
      <c r="AH1330">
        <v>0</v>
      </c>
      <c r="AI1330">
        <v>0</v>
      </c>
      <c r="AJ1330">
        <v>0</v>
      </c>
      <c r="AK1330">
        <v>0</v>
      </c>
      <c r="AL1330">
        <v>0</v>
      </c>
      <c r="AM1330">
        <v>0</v>
      </c>
      <c r="AN1330">
        <v>0</v>
      </c>
      <c r="AO1330">
        <v>0</v>
      </c>
      <c r="AP1330">
        <v>0</v>
      </c>
      <c r="AQ1330">
        <v>25.52</v>
      </c>
      <c r="AR1330">
        <v>0</v>
      </c>
      <c r="AS1330">
        <v>0</v>
      </c>
      <c r="AT1330">
        <v>0</v>
      </c>
      <c r="AU1330">
        <v>0</v>
      </c>
      <c r="AV1330">
        <v>0</v>
      </c>
      <c r="AW1330">
        <v>0</v>
      </c>
      <c r="AX1330">
        <v>0</v>
      </c>
      <c r="AY1330">
        <v>0</v>
      </c>
      <c r="AZ1330">
        <v>0</v>
      </c>
      <c r="BA1330">
        <v>0</v>
      </c>
      <c r="BB1330">
        <v>0</v>
      </c>
      <c r="BC1330">
        <v>0</v>
      </c>
      <c r="BD1330">
        <v>0</v>
      </c>
      <c r="BE1330">
        <v>0</v>
      </c>
      <c r="BF1330">
        <v>0</v>
      </c>
      <c r="BG1330">
        <v>0</v>
      </c>
      <c r="BH1330">
        <v>1</v>
      </c>
      <c r="BI1330">
        <v>1.5</v>
      </c>
      <c r="BJ1330">
        <v>1.7</v>
      </c>
      <c r="BK1330">
        <v>2</v>
      </c>
      <c r="BL1330">
        <v>76.06</v>
      </c>
      <c r="BM1330">
        <v>11.41</v>
      </c>
      <c r="BN1330">
        <v>87.47</v>
      </c>
      <c r="BO1330">
        <v>87.47</v>
      </c>
      <c r="BQ1330" t="s">
        <v>1715</v>
      </c>
      <c r="BR1330" t="s">
        <v>82</v>
      </c>
      <c r="BS1330" s="3">
        <v>46002</v>
      </c>
      <c r="BT1330" s="4">
        <v>0.41875000000000001</v>
      </c>
      <c r="BU1330" t="s">
        <v>1138</v>
      </c>
      <c r="BV1330" t="s">
        <v>84</v>
      </c>
      <c r="BY1330">
        <v>8603.2000000000007</v>
      </c>
      <c r="CA1330" t="s">
        <v>1228</v>
      </c>
      <c r="CC1330" t="s">
        <v>142</v>
      </c>
      <c r="CD1330">
        <v>6001</v>
      </c>
      <c r="CE1330" t="s">
        <v>86</v>
      </c>
      <c r="CF1330" s="3">
        <v>46002</v>
      </c>
      <c r="CI1330">
        <v>1</v>
      </c>
      <c r="CJ1330">
        <v>1</v>
      </c>
      <c r="CK1330">
        <v>21</v>
      </c>
      <c r="CL1330" t="s">
        <v>87</v>
      </c>
    </row>
    <row r="1331" spans="1:90" x14ac:dyDescent="0.3">
      <c r="A1331" t="s">
        <v>72</v>
      </c>
      <c r="B1331" t="s">
        <v>73</v>
      </c>
      <c r="C1331" t="s">
        <v>74</v>
      </c>
      <c r="E1331" t="str">
        <f>"080069814408"</f>
        <v>080069814408</v>
      </c>
      <c r="F1331" s="3">
        <v>46001</v>
      </c>
      <c r="G1331">
        <v>202609</v>
      </c>
      <c r="H1331" t="s">
        <v>75</v>
      </c>
      <c r="I1331" t="s">
        <v>76</v>
      </c>
      <c r="J1331" t="s">
        <v>77</v>
      </c>
      <c r="K1331" t="s">
        <v>78</v>
      </c>
      <c r="L1331" t="s">
        <v>141</v>
      </c>
      <c r="M1331" t="s">
        <v>142</v>
      </c>
      <c r="N1331" t="s">
        <v>143</v>
      </c>
      <c r="O1331" t="s">
        <v>89</v>
      </c>
      <c r="P1331" t="str">
        <f>"4170072742                    "</f>
        <v xml:space="preserve">4170072742                    </v>
      </c>
      <c r="Q1331">
        <v>0</v>
      </c>
      <c r="R1331">
        <v>0</v>
      </c>
      <c r="S1331">
        <v>0</v>
      </c>
      <c r="T1331">
        <v>0</v>
      </c>
      <c r="U1331">
        <v>0</v>
      </c>
      <c r="V1331">
        <v>0</v>
      </c>
      <c r="W1331">
        <v>0</v>
      </c>
      <c r="X1331">
        <v>0</v>
      </c>
      <c r="Y1331">
        <v>0</v>
      </c>
      <c r="Z1331">
        <v>0</v>
      </c>
      <c r="AA1331">
        <v>0</v>
      </c>
      <c r="AB1331">
        <v>0</v>
      </c>
      <c r="AC1331">
        <v>0</v>
      </c>
      <c r="AD1331">
        <v>0</v>
      </c>
      <c r="AE1331">
        <v>0</v>
      </c>
      <c r="AF1331">
        <v>0</v>
      </c>
      <c r="AG1331">
        <v>0</v>
      </c>
      <c r="AH1331">
        <v>0</v>
      </c>
      <c r="AI1331">
        <v>0</v>
      </c>
      <c r="AJ1331">
        <v>0</v>
      </c>
      <c r="AK1331">
        <v>0</v>
      </c>
      <c r="AL1331">
        <v>0</v>
      </c>
      <c r="AM1331">
        <v>0</v>
      </c>
      <c r="AN1331">
        <v>0</v>
      </c>
      <c r="AO1331">
        <v>0</v>
      </c>
      <c r="AP1331">
        <v>0</v>
      </c>
      <c r="AQ1331">
        <v>31.9</v>
      </c>
      <c r="AR1331">
        <v>0</v>
      </c>
      <c r="AS1331">
        <v>0</v>
      </c>
      <c r="AT1331">
        <v>0</v>
      </c>
      <c r="AU1331">
        <v>0</v>
      </c>
      <c r="AV1331">
        <v>0</v>
      </c>
      <c r="AW1331">
        <v>0</v>
      </c>
      <c r="AX1331">
        <v>0</v>
      </c>
      <c r="AY1331">
        <v>0</v>
      </c>
      <c r="AZ1331">
        <v>0</v>
      </c>
      <c r="BA1331">
        <v>0</v>
      </c>
      <c r="BB1331">
        <v>0</v>
      </c>
      <c r="BC1331">
        <v>0</v>
      </c>
      <c r="BD1331">
        <v>0</v>
      </c>
      <c r="BE1331">
        <v>0</v>
      </c>
      <c r="BF1331">
        <v>0</v>
      </c>
      <c r="BG1331">
        <v>0</v>
      </c>
      <c r="BH1331">
        <v>1</v>
      </c>
      <c r="BI1331">
        <v>2.5</v>
      </c>
      <c r="BJ1331">
        <v>1.7</v>
      </c>
      <c r="BK1331">
        <v>2.5</v>
      </c>
      <c r="BL1331">
        <v>95.07</v>
      </c>
      <c r="BM1331">
        <v>14.26</v>
      </c>
      <c r="BN1331">
        <v>109.33</v>
      </c>
      <c r="BO1331">
        <v>109.33</v>
      </c>
      <c r="BQ1331" t="s">
        <v>144</v>
      </c>
      <c r="BR1331" t="s">
        <v>82</v>
      </c>
      <c r="BS1331" s="3">
        <v>46002</v>
      </c>
      <c r="BT1331" s="4">
        <v>0.4236111111111111</v>
      </c>
      <c r="BU1331" t="s">
        <v>2035</v>
      </c>
      <c r="BV1331" t="s">
        <v>84</v>
      </c>
      <c r="BY1331">
        <v>8344.7999999999993</v>
      </c>
      <c r="CA1331" t="s">
        <v>1228</v>
      </c>
      <c r="CC1331" t="s">
        <v>142</v>
      </c>
      <c r="CD1331">
        <v>6001</v>
      </c>
      <c r="CE1331" t="s">
        <v>86</v>
      </c>
      <c r="CF1331" s="3">
        <v>46002</v>
      </c>
      <c r="CI1331">
        <v>1</v>
      </c>
      <c r="CJ1331">
        <v>1</v>
      </c>
      <c r="CK1331">
        <v>21</v>
      </c>
      <c r="CL1331" t="s">
        <v>87</v>
      </c>
    </row>
    <row r="1332" spans="1:90" x14ac:dyDescent="0.3">
      <c r="A1332" t="s">
        <v>72</v>
      </c>
      <c r="B1332" t="s">
        <v>73</v>
      </c>
      <c r="C1332" t="s">
        <v>74</v>
      </c>
      <c r="E1332" t="str">
        <f>"080069814448"</f>
        <v>080069814448</v>
      </c>
      <c r="F1332" s="3">
        <v>46001</v>
      </c>
      <c r="G1332">
        <v>202609</v>
      </c>
      <c r="H1332" t="s">
        <v>75</v>
      </c>
      <c r="I1332" t="s">
        <v>76</v>
      </c>
      <c r="J1332" t="s">
        <v>77</v>
      </c>
      <c r="K1332" t="s">
        <v>78</v>
      </c>
      <c r="L1332" t="s">
        <v>1120</v>
      </c>
      <c r="M1332" t="s">
        <v>1121</v>
      </c>
      <c r="N1332" t="s">
        <v>2036</v>
      </c>
      <c r="O1332" t="s">
        <v>89</v>
      </c>
      <c r="P1332" t="str">
        <f>"4170066937                    "</f>
        <v xml:space="preserve">4170066937                    </v>
      </c>
      <c r="Q1332">
        <v>0</v>
      </c>
      <c r="R1332">
        <v>0</v>
      </c>
      <c r="S1332">
        <v>0</v>
      </c>
      <c r="T1332">
        <v>0</v>
      </c>
      <c r="U1332">
        <v>0</v>
      </c>
      <c r="V1332">
        <v>0</v>
      </c>
      <c r="W1332">
        <v>0</v>
      </c>
      <c r="X1332">
        <v>0</v>
      </c>
      <c r="Y1332">
        <v>0</v>
      </c>
      <c r="Z1332">
        <v>0</v>
      </c>
      <c r="AA1332">
        <v>0</v>
      </c>
      <c r="AB1332">
        <v>0</v>
      </c>
      <c r="AC1332">
        <v>0</v>
      </c>
      <c r="AD1332">
        <v>0</v>
      </c>
      <c r="AE1332">
        <v>0</v>
      </c>
      <c r="AF1332">
        <v>0</v>
      </c>
      <c r="AG1332">
        <v>0</v>
      </c>
      <c r="AH1332">
        <v>0</v>
      </c>
      <c r="AI1332">
        <v>0</v>
      </c>
      <c r="AJ1332">
        <v>0</v>
      </c>
      <c r="AK1332">
        <v>0</v>
      </c>
      <c r="AL1332">
        <v>0</v>
      </c>
      <c r="AM1332">
        <v>0</v>
      </c>
      <c r="AN1332">
        <v>0</v>
      </c>
      <c r="AO1332">
        <v>0</v>
      </c>
      <c r="AP1332">
        <v>0</v>
      </c>
      <c r="AQ1332">
        <v>406.75</v>
      </c>
      <c r="AR1332">
        <v>0</v>
      </c>
      <c r="AS1332">
        <v>0</v>
      </c>
      <c r="AT1332">
        <v>0</v>
      </c>
      <c r="AU1332">
        <v>0</v>
      </c>
      <c r="AV1332">
        <v>0</v>
      </c>
      <c r="AW1332">
        <v>0</v>
      </c>
      <c r="AX1332">
        <v>0</v>
      </c>
      <c r="AY1332">
        <v>0</v>
      </c>
      <c r="AZ1332">
        <v>0</v>
      </c>
      <c r="BA1332">
        <v>0</v>
      </c>
      <c r="BB1332">
        <v>0</v>
      </c>
      <c r="BC1332">
        <v>0</v>
      </c>
      <c r="BD1332">
        <v>0</v>
      </c>
      <c r="BE1332">
        <v>0</v>
      </c>
      <c r="BF1332">
        <v>0</v>
      </c>
      <c r="BG1332">
        <v>0</v>
      </c>
      <c r="BH1332">
        <v>1</v>
      </c>
      <c r="BI1332">
        <v>0.8</v>
      </c>
      <c r="BJ1332">
        <v>17.899999999999999</v>
      </c>
      <c r="BK1332">
        <v>18</v>
      </c>
      <c r="BL1332">
        <v>1212.2</v>
      </c>
      <c r="BM1332">
        <v>181.83</v>
      </c>
      <c r="BN1332">
        <v>1394.03</v>
      </c>
      <c r="BO1332">
        <v>1394.03</v>
      </c>
      <c r="BQ1332" t="s">
        <v>2037</v>
      </c>
      <c r="BR1332" t="s">
        <v>82</v>
      </c>
      <c r="BS1332" t="s">
        <v>500</v>
      </c>
      <c r="BY1332">
        <v>89364.66</v>
      </c>
      <c r="CC1332" t="s">
        <v>1121</v>
      </c>
      <c r="CD1332" s="5" t="s">
        <v>2038</v>
      </c>
      <c r="CE1332" t="s">
        <v>134</v>
      </c>
      <c r="CI1332">
        <v>1</v>
      </c>
      <c r="CJ1332" t="s">
        <v>500</v>
      </c>
      <c r="CK1332">
        <v>23</v>
      </c>
      <c r="CL1332" t="s">
        <v>87</v>
      </c>
    </row>
    <row r="1333" spans="1:90" x14ac:dyDescent="0.3">
      <c r="A1333" t="s">
        <v>72</v>
      </c>
      <c r="B1333" t="s">
        <v>73</v>
      </c>
      <c r="C1333" t="s">
        <v>74</v>
      </c>
      <c r="E1333" t="str">
        <f>"080069814464"</f>
        <v>080069814464</v>
      </c>
      <c r="F1333" s="3">
        <v>46001</v>
      </c>
      <c r="G1333">
        <v>202609</v>
      </c>
      <c r="H1333" t="s">
        <v>75</v>
      </c>
      <c r="I1333" t="s">
        <v>76</v>
      </c>
      <c r="J1333" t="s">
        <v>77</v>
      </c>
      <c r="K1333" t="s">
        <v>78</v>
      </c>
      <c r="L1333" t="s">
        <v>128</v>
      </c>
      <c r="M1333" t="s">
        <v>129</v>
      </c>
      <c r="N1333" t="s">
        <v>383</v>
      </c>
      <c r="O1333" t="s">
        <v>89</v>
      </c>
      <c r="P1333" t="str">
        <f>"4170072772                    "</f>
        <v xml:space="preserve">4170072772                    </v>
      </c>
      <c r="Q1333">
        <v>0</v>
      </c>
      <c r="R1333">
        <v>0</v>
      </c>
      <c r="S1333">
        <v>0</v>
      </c>
      <c r="T1333">
        <v>0</v>
      </c>
      <c r="U1333">
        <v>0</v>
      </c>
      <c r="V1333">
        <v>0</v>
      </c>
      <c r="W1333">
        <v>0</v>
      </c>
      <c r="X1333">
        <v>0</v>
      </c>
      <c r="Y1333">
        <v>0</v>
      </c>
      <c r="Z1333">
        <v>0</v>
      </c>
      <c r="AA1333">
        <v>0</v>
      </c>
      <c r="AB1333">
        <v>0</v>
      </c>
      <c r="AC1333">
        <v>0</v>
      </c>
      <c r="AD1333">
        <v>0</v>
      </c>
      <c r="AE1333">
        <v>0</v>
      </c>
      <c r="AF1333">
        <v>0</v>
      </c>
      <c r="AG1333">
        <v>0</v>
      </c>
      <c r="AH1333">
        <v>0</v>
      </c>
      <c r="AI1333">
        <v>0</v>
      </c>
      <c r="AJ1333">
        <v>0</v>
      </c>
      <c r="AK1333">
        <v>0</v>
      </c>
      <c r="AL1333">
        <v>0</v>
      </c>
      <c r="AM1333">
        <v>0</v>
      </c>
      <c r="AN1333">
        <v>0</v>
      </c>
      <c r="AO1333">
        <v>0</v>
      </c>
      <c r="AP1333">
        <v>0</v>
      </c>
      <c r="AQ1333">
        <v>133.94999999999999</v>
      </c>
      <c r="AR1333">
        <v>0</v>
      </c>
      <c r="AS1333">
        <v>0</v>
      </c>
      <c r="AT1333">
        <v>0</v>
      </c>
      <c r="AU1333">
        <v>0</v>
      </c>
      <c r="AV1333">
        <v>0</v>
      </c>
      <c r="AW1333">
        <v>0</v>
      </c>
      <c r="AX1333">
        <v>0</v>
      </c>
      <c r="AY1333">
        <v>0</v>
      </c>
      <c r="AZ1333">
        <v>0</v>
      </c>
      <c r="BA1333">
        <v>0</v>
      </c>
      <c r="BB1333">
        <v>0</v>
      </c>
      <c r="BC1333">
        <v>0</v>
      </c>
      <c r="BD1333">
        <v>0</v>
      </c>
      <c r="BE1333">
        <v>0</v>
      </c>
      <c r="BF1333">
        <v>0</v>
      </c>
      <c r="BG1333">
        <v>0</v>
      </c>
      <c r="BH1333">
        <v>1</v>
      </c>
      <c r="BI1333">
        <v>5.4</v>
      </c>
      <c r="BJ1333">
        <v>10.199999999999999</v>
      </c>
      <c r="BK1333">
        <v>10.5</v>
      </c>
      <c r="BL1333">
        <v>399.2</v>
      </c>
      <c r="BM1333">
        <v>59.88</v>
      </c>
      <c r="BN1333">
        <v>459.08</v>
      </c>
      <c r="BO1333">
        <v>459.08</v>
      </c>
      <c r="BQ1333" t="s">
        <v>384</v>
      </c>
      <c r="BR1333" t="s">
        <v>82</v>
      </c>
      <c r="BS1333" s="3">
        <v>46002</v>
      </c>
      <c r="BT1333" s="4">
        <v>0.55138888888888893</v>
      </c>
      <c r="BU1333" t="s">
        <v>1710</v>
      </c>
      <c r="BV1333" t="s">
        <v>87</v>
      </c>
      <c r="BW1333" t="s">
        <v>186</v>
      </c>
      <c r="BX1333" t="s">
        <v>187</v>
      </c>
      <c r="BY1333">
        <v>50818.559999999998</v>
      </c>
      <c r="CA1333" t="s">
        <v>188</v>
      </c>
      <c r="CC1333" t="s">
        <v>129</v>
      </c>
      <c r="CD1333">
        <v>5201</v>
      </c>
      <c r="CE1333" t="s">
        <v>93</v>
      </c>
      <c r="CI1333">
        <v>1</v>
      </c>
      <c r="CJ1333">
        <v>1</v>
      </c>
      <c r="CK1333">
        <v>21</v>
      </c>
      <c r="CL1333" t="s">
        <v>87</v>
      </c>
    </row>
    <row r="1334" spans="1:90" x14ac:dyDescent="0.3">
      <c r="A1334" t="s">
        <v>72</v>
      </c>
      <c r="B1334" t="s">
        <v>73</v>
      </c>
      <c r="C1334" t="s">
        <v>74</v>
      </c>
      <c r="E1334" t="str">
        <f>"080069814476"</f>
        <v>080069814476</v>
      </c>
      <c r="F1334" s="3">
        <v>46001</v>
      </c>
      <c r="G1334">
        <v>202609</v>
      </c>
      <c r="H1334" t="s">
        <v>75</v>
      </c>
      <c r="I1334" t="s">
        <v>76</v>
      </c>
      <c r="J1334" t="s">
        <v>77</v>
      </c>
      <c r="K1334" t="s">
        <v>78</v>
      </c>
      <c r="L1334" t="s">
        <v>1002</v>
      </c>
      <c r="M1334" t="s">
        <v>1003</v>
      </c>
      <c r="N1334" t="s">
        <v>1004</v>
      </c>
      <c r="O1334" t="s">
        <v>89</v>
      </c>
      <c r="P1334" t="str">
        <f>"4170072825                    "</f>
        <v xml:space="preserve">4170072825                    </v>
      </c>
      <c r="Q1334">
        <v>0</v>
      </c>
      <c r="R1334">
        <v>0</v>
      </c>
      <c r="S1334">
        <v>0</v>
      </c>
      <c r="T1334">
        <v>0</v>
      </c>
      <c r="U1334">
        <v>0</v>
      </c>
      <c r="V1334">
        <v>0</v>
      </c>
      <c r="W1334">
        <v>0</v>
      </c>
      <c r="X1334">
        <v>0</v>
      </c>
      <c r="Y1334">
        <v>0</v>
      </c>
      <c r="Z1334">
        <v>0</v>
      </c>
      <c r="AA1334">
        <v>0</v>
      </c>
      <c r="AB1334">
        <v>0</v>
      </c>
      <c r="AC1334">
        <v>0</v>
      </c>
      <c r="AD1334">
        <v>0</v>
      </c>
      <c r="AE1334">
        <v>0</v>
      </c>
      <c r="AF1334">
        <v>0</v>
      </c>
      <c r="AG1334">
        <v>0</v>
      </c>
      <c r="AH1334">
        <v>0</v>
      </c>
      <c r="AI1334">
        <v>0</v>
      </c>
      <c r="AJ1334">
        <v>0</v>
      </c>
      <c r="AK1334">
        <v>0</v>
      </c>
      <c r="AL1334">
        <v>0</v>
      </c>
      <c r="AM1334">
        <v>0</v>
      </c>
      <c r="AN1334">
        <v>0</v>
      </c>
      <c r="AO1334">
        <v>0</v>
      </c>
      <c r="AP1334">
        <v>0</v>
      </c>
      <c r="AQ1334">
        <v>49.45</v>
      </c>
      <c r="AR1334">
        <v>0</v>
      </c>
      <c r="AS1334">
        <v>0</v>
      </c>
      <c r="AT1334">
        <v>0</v>
      </c>
      <c r="AU1334">
        <v>0</v>
      </c>
      <c r="AV1334">
        <v>0</v>
      </c>
      <c r="AW1334">
        <v>0</v>
      </c>
      <c r="AX1334">
        <v>0</v>
      </c>
      <c r="AY1334">
        <v>0</v>
      </c>
      <c r="AZ1334">
        <v>0</v>
      </c>
      <c r="BA1334">
        <v>0</v>
      </c>
      <c r="BB1334">
        <v>0</v>
      </c>
      <c r="BC1334">
        <v>0</v>
      </c>
      <c r="BD1334">
        <v>0</v>
      </c>
      <c r="BE1334">
        <v>0</v>
      </c>
      <c r="BF1334">
        <v>0</v>
      </c>
      <c r="BG1334">
        <v>0</v>
      </c>
      <c r="BH1334">
        <v>1</v>
      </c>
      <c r="BI1334">
        <v>1</v>
      </c>
      <c r="BJ1334">
        <v>0.2</v>
      </c>
      <c r="BK1334">
        <v>1</v>
      </c>
      <c r="BL1334">
        <v>147.38</v>
      </c>
      <c r="BM1334">
        <v>22.11</v>
      </c>
      <c r="BN1334">
        <v>169.49</v>
      </c>
      <c r="BO1334">
        <v>169.49</v>
      </c>
      <c r="BQ1334" t="s">
        <v>1005</v>
      </c>
      <c r="BR1334" t="s">
        <v>82</v>
      </c>
      <c r="BS1334" t="s">
        <v>500</v>
      </c>
      <c r="BY1334">
        <v>1200</v>
      </c>
      <c r="CC1334" t="s">
        <v>1003</v>
      </c>
      <c r="CD1334">
        <v>4449</v>
      </c>
      <c r="CE1334" t="s">
        <v>134</v>
      </c>
      <c r="CI1334">
        <v>1</v>
      </c>
      <c r="CJ1334" t="s">
        <v>500</v>
      </c>
      <c r="CK1334">
        <v>23</v>
      </c>
      <c r="CL1334" t="s">
        <v>87</v>
      </c>
    </row>
    <row r="1335" spans="1:90" x14ac:dyDescent="0.3">
      <c r="A1335" t="s">
        <v>72</v>
      </c>
      <c r="B1335" t="s">
        <v>73</v>
      </c>
      <c r="C1335" t="s">
        <v>74</v>
      </c>
      <c r="E1335" t="str">
        <f>"080069814511"</f>
        <v>080069814511</v>
      </c>
      <c r="F1335" s="3">
        <v>46001</v>
      </c>
      <c r="G1335">
        <v>202609</v>
      </c>
      <c r="H1335" t="s">
        <v>75</v>
      </c>
      <c r="I1335" t="s">
        <v>76</v>
      </c>
      <c r="J1335" t="s">
        <v>77</v>
      </c>
      <c r="K1335" t="s">
        <v>78</v>
      </c>
      <c r="L1335" t="s">
        <v>100</v>
      </c>
      <c r="M1335" t="s">
        <v>101</v>
      </c>
      <c r="N1335" t="s">
        <v>166</v>
      </c>
      <c r="O1335" t="s">
        <v>89</v>
      </c>
      <c r="P1335" t="str">
        <f>"4170072737                    "</f>
        <v xml:space="preserve">4170072737                    </v>
      </c>
      <c r="Q1335">
        <v>0</v>
      </c>
      <c r="R1335">
        <v>0</v>
      </c>
      <c r="S1335">
        <v>0</v>
      </c>
      <c r="T1335">
        <v>0</v>
      </c>
      <c r="U1335">
        <v>0</v>
      </c>
      <c r="V1335">
        <v>0</v>
      </c>
      <c r="W1335">
        <v>0</v>
      </c>
      <c r="X1335">
        <v>0</v>
      </c>
      <c r="Y1335">
        <v>0</v>
      </c>
      <c r="Z1335">
        <v>0</v>
      </c>
      <c r="AA1335">
        <v>0</v>
      </c>
      <c r="AB1335">
        <v>0</v>
      </c>
      <c r="AC1335">
        <v>0</v>
      </c>
      <c r="AD1335">
        <v>0</v>
      </c>
      <c r="AE1335">
        <v>0</v>
      </c>
      <c r="AF1335">
        <v>0</v>
      </c>
      <c r="AG1335">
        <v>0</v>
      </c>
      <c r="AH1335">
        <v>0</v>
      </c>
      <c r="AI1335">
        <v>0</v>
      </c>
      <c r="AJ1335">
        <v>0</v>
      </c>
      <c r="AK1335">
        <v>0</v>
      </c>
      <c r="AL1335">
        <v>0</v>
      </c>
      <c r="AM1335">
        <v>0</v>
      </c>
      <c r="AN1335">
        <v>0</v>
      </c>
      <c r="AO1335">
        <v>0</v>
      </c>
      <c r="AP1335">
        <v>0</v>
      </c>
      <c r="AQ1335">
        <v>89.3</v>
      </c>
      <c r="AR1335">
        <v>0</v>
      </c>
      <c r="AS1335">
        <v>0</v>
      </c>
      <c r="AT1335">
        <v>0</v>
      </c>
      <c r="AU1335">
        <v>0</v>
      </c>
      <c r="AV1335">
        <v>0</v>
      </c>
      <c r="AW1335">
        <v>0</v>
      </c>
      <c r="AX1335">
        <v>0</v>
      </c>
      <c r="AY1335">
        <v>0</v>
      </c>
      <c r="AZ1335">
        <v>0</v>
      </c>
      <c r="BA1335">
        <v>0</v>
      </c>
      <c r="BB1335">
        <v>0</v>
      </c>
      <c r="BC1335">
        <v>0</v>
      </c>
      <c r="BD1335">
        <v>0</v>
      </c>
      <c r="BE1335">
        <v>0</v>
      </c>
      <c r="BF1335">
        <v>0</v>
      </c>
      <c r="BG1335">
        <v>0</v>
      </c>
      <c r="BH1335">
        <v>1</v>
      </c>
      <c r="BI1335">
        <v>2.4</v>
      </c>
      <c r="BJ1335">
        <v>6.9</v>
      </c>
      <c r="BK1335">
        <v>7</v>
      </c>
      <c r="BL1335">
        <v>266.14</v>
      </c>
      <c r="BM1335">
        <v>39.92</v>
      </c>
      <c r="BN1335">
        <v>306.06</v>
      </c>
      <c r="BO1335">
        <v>306.06</v>
      </c>
      <c r="BQ1335" t="s">
        <v>167</v>
      </c>
      <c r="BR1335" t="s">
        <v>82</v>
      </c>
      <c r="BS1335" s="3">
        <v>46002</v>
      </c>
      <c r="BT1335" s="4">
        <v>0.42777777777777776</v>
      </c>
      <c r="BU1335" t="s">
        <v>644</v>
      </c>
      <c r="BV1335" t="s">
        <v>84</v>
      </c>
      <c r="BY1335">
        <v>34503.839999999997</v>
      </c>
      <c r="CA1335" t="s">
        <v>929</v>
      </c>
      <c r="CC1335" t="s">
        <v>101</v>
      </c>
      <c r="CD1335">
        <v>4000</v>
      </c>
      <c r="CE1335" t="s">
        <v>93</v>
      </c>
      <c r="CF1335" s="3">
        <v>46002</v>
      </c>
      <c r="CI1335">
        <v>1</v>
      </c>
      <c r="CJ1335">
        <v>1</v>
      </c>
      <c r="CK1335">
        <v>21</v>
      </c>
      <c r="CL1335" t="s">
        <v>87</v>
      </c>
    </row>
    <row r="1336" spans="1:90" x14ac:dyDescent="0.3">
      <c r="A1336" t="s">
        <v>72</v>
      </c>
      <c r="B1336" t="s">
        <v>73</v>
      </c>
      <c r="C1336" t="s">
        <v>74</v>
      </c>
      <c r="E1336" t="str">
        <f>"080069814512"</f>
        <v>080069814512</v>
      </c>
      <c r="F1336" s="3">
        <v>46001</v>
      </c>
      <c r="G1336">
        <v>202609</v>
      </c>
      <c r="H1336" t="s">
        <v>75</v>
      </c>
      <c r="I1336" t="s">
        <v>76</v>
      </c>
      <c r="J1336" t="s">
        <v>77</v>
      </c>
      <c r="K1336" t="s">
        <v>78</v>
      </c>
      <c r="L1336" t="s">
        <v>75</v>
      </c>
      <c r="M1336" t="s">
        <v>76</v>
      </c>
      <c r="N1336" t="s">
        <v>328</v>
      </c>
      <c r="O1336" t="s">
        <v>89</v>
      </c>
      <c r="P1336" t="str">
        <f>"4170072753                    "</f>
        <v xml:space="preserve">4170072753                    </v>
      </c>
      <c r="Q1336">
        <v>0</v>
      </c>
      <c r="R1336">
        <v>0</v>
      </c>
      <c r="S1336">
        <v>0</v>
      </c>
      <c r="T1336">
        <v>0</v>
      </c>
      <c r="U1336">
        <v>0</v>
      </c>
      <c r="V1336">
        <v>0</v>
      </c>
      <c r="W1336">
        <v>0</v>
      </c>
      <c r="X1336">
        <v>0</v>
      </c>
      <c r="Y1336">
        <v>0</v>
      </c>
      <c r="Z1336">
        <v>0</v>
      </c>
      <c r="AA1336">
        <v>0</v>
      </c>
      <c r="AB1336">
        <v>0</v>
      </c>
      <c r="AC1336">
        <v>0</v>
      </c>
      <c r="AD1336">
        <v>0</v>
      </c>
      <c r="AE1336">
        <v>0</v>
      </c>
      <c r="AF1336">
        <v>0</v>
      </c>
      <c r="AG1336">
        <v>0</v>
      </c>
      <c r="AH1336">
        <v>0</v>
      </c>
      <c r="AI1336">
        <v>0</v>
      </c>
      <c r="AJ1336">
        <v>0</v>
      </c>
      <c r="AK1336">
        <v>0</v>
      </c>
      <c r="AL1336">
        <v>0</v>
      </c>
      <c r="AM1336">
        <v>0</v>
      </c>
      <c r="AN1336">
        <v>0</v>
      </c>
      <c r="AO1336">
        <v>0</v>
      </c>
      <c r="AP1336">
        <v>0</v>
      </c>
      <c r="AQ1336">
        <v>19.940000000000001</v>
      </c>
      <c r="AR1336">
        <v>0</v>
      </c>
      <c r="AS1336">
        <v>0</v>
      </c>
      <c r="AT1336">
        <v>0</v>
      </c>
      <c r="AU1336">
        <v>0</v>
      </c>
      <c r="AV1336">
        <v>0</v>
      </c>
      <c r="AW1336">
        <v>0</v>
      </c>
      <c r="AX1336">
        <v>0</v>
      </c>
      <c r="AY1336">
        <v>0</v>
      </c>
      <c r="AZ1336">
        <v>0</v>
      </c>
      <c r="BA1336">
        <v>0</v>
      </c>
      <c r="BB1336">
        <v>0</v>
      </c>
      <c r="BC1336">
        <v>0</v>
      </c>
      <c r="BD1336">
        <v>0</v>
      </c>
      <c r="BE1336">
        <v>0</v>
      </c>
      <c r="BF1336">
        <v>0</v>
      </c>
      <c r="BG1336">
        <v>0</v>
      </c>
      <c r="BH1336">
        <v>1</v>
      </c>
      <c r="BI1336">
        <v>1</v>
      </c>
      <c r="BJ1336">
        <v>0.2</v>
      </c>
      <c r="BK1336">
        <v>1</v>
      </c>
      <c r="BL1336">
        <v>59.42</v>
      </c>
      <c r="BM1336">
        <v>8.91</v>
      </c>
      <c r="BN1336">
        <v>68.33</v>
      </c>
      <c r="BO1336">
        <v>68.33</v>
      </c>
      <c r="BQ1336" t="s">
        <v>329</v>
      </c>
      <c r="BR1336" t="s">
        <v>82</v>
      </c>
      <c r="BS1336" t="s">
        <v>500</v>
      </c>
      <c r="BY1336">
        <v>1200</v>
      </c>
      <c r="CC1336" t="s">
        <v>76</v>
      </c>
      <c r="CD1336">
        <v>1645</v>
      </c>
      <c r="CE1336" t="s">
        <v>134</v>
      </c>
      <c r="CI1336">
        <v>1</v>
      </c>
      <c r="CJ1336" t="s">
        <v>500</v>
      </c>
      <c r="CK1336">
        <v>22</v>
      </c>
      <c r="CL1336" t="s">
        <v>87</v>
      </c>
    </row>
    <row r="1337" spans="1:90" x14ac:dyDescent="0.3">
      <c r="A1337" t="s">
        <v>72</v>
      </c>
      <c r="B1337" t="s">
        <v>73</v>
      </c>
      <c r="C1337" t="s">
        <v>74</v>
      </c>
      <c r="E1337" t="str">
        <f>"080069814654"</f>
        <v>080069814654</v>
      </c>
      <c r="F1337" s="3">
        <v>46001</v>
      </c>
      <c r="G1337">
        <v>202609</v>
      </c>
      <c r="H1337" t="s">
        <v>75</v>
      </c>
      <c r="I1337" t="s">
        <v>76</v>
      </c>
      <c r="J1337" t="s">
        <v>77</v>
      </c>
      <c r="K1337" t="s">
        <v>78</v>
      </c>
      <c r="L1337" t="s">
        <v>141</v>
      </c>
      <c r="M1337" t="s">
        <v>142</v>
      </c>
      <c r="N1337" t="s">
        <v>568</v>
      </c>
      <c r="O1337" t="s">
        <v>89</v>
      </c>
      <c r="P1337" t="str">
        <f>"4170072757                    "</f>
        <v xml:space="preserve">4170072757                    </v>
      </c>
      <c r="Q1337">
        <v>0</v>
      </c>
      <c r="R1337">
        <v>0</v>
      </c>
      <c r="S1337">
        <v>0</v>
      </c>
      <c r="T1337">
        <v>0</v>
      </c>
      <c r="U1337">
        <v>0</v>
      </c>
      <c r="V1337">
        <v>0</v>
      </c>
      <c r="W1337">
        <v>0</v>
      </c>
      <c r="X1337">
        <v>0</v>
      </c>
      <c r="Y1337">
        <v>0</v>
      </c>
      <c r="Z1337">
        <v>0</v>
      </c>
      <c r="AA1337">
        <v>0</v>
      </c>
      <c r="AB1337">
        <v>0</v>
      </c>
      <c r="AC1337">
        <v>0</v>
      </c>
      <c r="AD1337">
        <v>0</v>
      </c>
      <c r="AE1337">
        <v>0</v>
      </c>
      <c r="AF1337">
        <v>0</v>
      </c>
      <c r="AG1337">
        <v>0</v>
      </c>
      <c r="AH1337">
        <v>0</v>
      </c>
      <c r="AI1337">
        <v>0</v>
      </c>
      <c r="AJ1337">
        <v>0</v>
      </c>
      <c r="AK1337">
        <v>0</v>
      </c>
      <c r="AL1337">
        <v>0</v>
      </c>
      <c r="AM1337">
        <v>0</v>
      </c>
      <c r="AN1337">
        <v>0</v>
      </c>
      <c r="AO1337">
        <v>0</v>
      </c>
      <c r="AP1337">
        <v>0</v>
      </c>
      <c r="AQ1337">
        <v>114.82</v>
      </c>
      <c r="AR1337">
        <v>0</v>
      </c>
      <c r="AS1337">
        <v>0</v>
      </c>
      <c r="AT1337">
        <v>0</v>
      </c>
      <c r="AU1337">
        <v>0</v>
      </c>
      <c r="AV1337">
        <v>0</v>
      </c>
      <c r="AW1337">
        <v>0</v>
      </c>
      <c r="AX1337">
        <v>0</v>
      </c>
      <c r="AY1337">
        <v>0</v>
      </c>
      <c r="AZ1337">
        <v>0</v>
      </c>
      <c r="BA1337">
        <v>0</v>
      </c>
      <c r="BB1337">
        <v>0</v>
      </c>
      <c r="BC1337">
        <v>0</v>
      </c>
      <c r="BD1337">
        <v>0</v>
      </c>
      <c r="BE1337">
        <v>0</v>
      </c>
      <c r="BF1337">
        <v>0</v>
      </c>
      <c r="BG1337">
        <v>0</v>
      </c>
      <c r="BH1337">
        <v>1</v>
      </c>
      <c r="BI1337">
        <v>8</v>
      </c>
      <c r="BJ1337">
        <v>8.8000000000000007</v>
      </c>
      <c r="BK1337">
        <v>9</v>
      </c>
      <c r="BL1337">
        <v>342.18</v>
      </c>
      <c r="BM1337">
        <v>51.33</v>
      </c>
      <c r="BN1337">
        <v>393.51</v>
      </c>
      <c r="BO1337">
        <v>393.51</v>
      </c>
      <c r="BQ1337" t="s">
        <v>569</v>
      </c>
      <c r="BR1337" t="s">
        <v>82</v>
      </c>
      <c r="BS1337" s="3">
        <v>46002</v>
      </c>
      <c r="BT1337" s="4">
        <v>0.45347222222222222</v>
      </c>
      <c r="BU1337" t="s">
        <v>1172</v>
      </c>
      <c r="BV1337" t="s">
        <v>87</v>
      </c>
      <c r="BW1337" t="s">
        <v>246</v>
      </c>
      <c r="BX1337" t="s">
        <v>1574</v>
      </c>
      <c r="BY1337">
        <v>43928</v>
      </c>
      <c r="CA1337" t="s">
        <v>571</v>
      </c>
      <c r="CC1337" t="s">
        <v>142</v>
      </c>
      <c r="CD1337">
        <v>6056</v>
      </c>
      <c r="CE1337" t="s">
        <v>93</v>
      </c>
      <c r="CF1337" s="3">
        <v>46002</v>
      </c>
      <c r="CI1337">
        <v>1</v>
      </c>
      <c r="CJ1337">
        <v>1</v>
      </c>
      <c r="CK1337">
        <v>21</v>
      </c>
      <c r="CL1337" t="s">
        <v>87</v>
      </c>
    </row>
    <row r="1338" spans="1:90" x14ac:dyDescent="0.3">
      <c r="A1338" t="s">
        <v>72</v>
      </c>
      <c r="B1338" t="s">
        <v>73</v>
      </c>
      <c r="C1338" t="s">
        <v>74</v>
      </c>
      <c r="E1338" t="str">
        <f>"080069815046"</f>
        <v>080069815046</v>
      </c>
      <c r="F1338" s="3">
        <v>46001</v>
      </c>
      <c r="G1338">
        <v>202609</v>
      </c>
      <c r="H1338" t="s">
        <v>75</v>
      </c>
      <c r="I1338" t="s">
        <v>76</v>
      </c>
      <c r="J1338" t="s">
        <v>77</v>
      </c>
      <c r="K1338" t="s">
        <v>78</v>
      </c>
      <c r="L1338" t="s">
        <v>148</v>
      </c>
      <c r="M1338" t="s">
        <v>149</v>
      </c>
      <c r="N1338" t="s">
        <v>150</v>
      </c>
      <c r="O1338" t="s">
        <v>89</v>
      </c>
      <c r="P1338" t="str">
        <f>"4170072746                    "</f>
        <v xml:space="preserve">4170072746                    </v>
      </c>
      <c r="Q1338">
        <v>0</v>
      </c>
      <c r="R1338">
        <v>0</v>
      </c>
      <c r="S1338">
        <v>0</v>
      </c>
      <c r="T1338">
        <v>0</v>
      </c>
      <c r="U1338">
        <v>0</v>
      </c>
      <c r="V1338">
        <v>0</v>
      </c>
      <c r="W1338">
        <v>0</v>
      </c>
      <c r="X1338">
        <v>0</v>
      </c>
      <c r="Y1338">
        <v>0</v>
      </c>
      <c r="Z1338">
        <v>0</v>
      </c>
      <c r="AA1338">
        <v>0</v>
      </c>
      <c r="AB1338">
        <v>0</v>
      </c>
      <c r="AC1338">
        <v>0</v>
      </c>
      <c r="AD1338">
        <v>0</v>
      </c>
      <c r="AE1338">
        <v>0</v>
      </c>
      <c r="AF1338">
        <v>0</v>
      </c>
      <c r="AG1338">
        <v>0</v>
      </c>
      <c r="AH1338">
        <v>0</v>
      </c>
      <c r="AI1338">
        <v>0</v>
      </c>
      <c r="AJ1338">
        <v>0</v>
      </c>
      <c r="AK1338">
        <v>0</v>
      </c>
      <c r="AL1338">
        <v>0</v>
      </c>
      <c r="AM1338">
        <v>0</v>
      </c>
      <c r="AN1338">
        <v>0</v>
      </c>
      <c r="AO1338">
        <v>0</v>
      </c>
      <c r="AP1338">
        <v>0</v>
      </c>
      <c r="AQ1338">
        <v>49.45</v>
      </c>
      <c r="AR1338">
        <v>0</v>
      </c>
      <c r="AS1338">
        <v>0</v>
      </c>
      <c r="AT1338">
        <v>0</v>
      </c>
      <c r="AU1338">
        <v>0</v>
      </c>
      <c r="AV1338">
        <v>0</v>
      </c>
      <c r="AW1338">
        <v>0</v>
      </c>
      <c r="AX1338">
        <v>0</v>
      </c>
      <c r="AY1338">
        <v>0</v>
      </c>
      <c r="AZ1338">
        <v>0</v>
      </c>
      <c r="BA1338">
        <v>0</v>
      </c>
      <c r="BB1338">
        <v>0</v>
      </c>
      <c r="BC1338">
        <v>0</v>
      </c>
      <c r="BD1338">
        <v>0</v>
      </c>
      <c r="BE1338">
        <v>0</v>
      </c>
      <c r="BF1338">
        <v>0</v>
      </c>
      <c r="BG1338">
        <v>0</v>
      </c>
      <c r="BH1338">
        <v>1</v>
      </c>
      <c r="BI1338">
        <v>1.4</v>
      </c>
      <c r="BJ1338">
        <v>1.3</v>
      </c>
      <c r="BK1338">
        <v>1.5</v>
      </c>
      <c r="BL1338">
        <v>147.38</v>
      </c>
      <c r="BM1338">
        <v>22.11</v>
      </c>
      <c r="BN1338">
        <v>169.49</v>
      </c>
      <c r="BO1338">
        <v>169.49</v>
      </c>
      <c r="BQ1338" t="s">
        <v>151</v>
      </c>
      <c r="BR1338" t="s">
        <v>82</v>
      </c>
      <c r="BS1338" s="3">
        <v>46002</v>
      </c>
      <c r="BT1338" s="4">
        <v>0.77013888888888893</v>
      </c>
      <c r="BU1338" t="s">
        <v>2039</v>
      </c>
      <c r="BV1338" t="s">
        <v>87</v>
      </c>
      <c r="BY1338">
        <v>6459.09</v>
      </c>
      <c r="CA1338" t="s">
        <v>155</v>
      </c>
      <c r="CC1338" t="s">
        <v>149</v>
      </c>
      <c r="CD1338">
        <v>7300</v>
      </c>
      <c r="CE1338" t="s">
        <v>93</v>
      </c>
      <c r="CI1338">
        <v>1</v>
      </c>
      <c r="CJ1338">
        <v>1</v>
      </c>
      <c r="CK1338">
        <v>23</v>
      </c>
      <c r="CL1338" t="s">
        <v>87</v>
      </c>
    </row>
    <row r="1339" spans="1:90" x14ac:dyDescent="0.3">
      <c r="A1339" t="s">
        <v>72</v>
      </c>
      <c r="B1339" t="s">
        <v>73</v>
      </c>
      <c r="C1339" t="s">
        <v>74</v>
      </c>
      <c r="E1339" t="str">
        <f>"080069815079"</f>
        <v>080069815079</v>
      </c>
      <c r="F1339" s="3">
        <v>46001</v>
      </c>
      <c r="G1339">
        <v>202609</v>
      </c>
      <c r="H1339" t="s">
        <v>75</v>
      </c>
      <c r="I1339" t="s">
        <v>76</v>
      </c>
      <c r="J1339" t="s">
        <v>77</v>
      </c>
      <c r="K1339" t="s">
        <v>78</v>
      </c>
      <c r="L1339" t="s">
        <v>109</v>
      </c>
      <c r="M1339" t="s">
        <v>110</v>
      </c>
      <c r="N1339" t="s">
        <v>511</v>
      </c>
      <c r="O1339" t="s">
        <v>340</v>
      </c>
      <c r="P1339" t="str">
        <f>"4170072803                    "</f>
        <v xml:space="preserve">4170072803                    </v>
      </c>
      <c r="Q1339">
        <v>0</v>
      </c>
      <c r="R1339">
        <v>0</v>
      </c>
      <c r="S1339">
        <v>0</v>
      </c>
      <c r="T1339">
        <v>0</v>
      </c>
      <c r="U1339">
        <v>0</v>
      </c>
      <c r="V1339">
        <v>0</v>
      </c>
      <c r="W1339">
        <v>0</v>
      </c>
      <c r="X1339">
        <v>0</v>
      </c>
      <c r="Y1339">
        <v>0</v>
      </c>
      <c r="Z1339">
        <v>0</v>
      </c>
      <c r="AA1339">
        <v>0</v>
      </c>
      <c r="AB1339">
        <v>0</v>
      </c>
      <c r="AC1339">
        <v>0</v>
      </c>
      <c r="AD1339">
        <v>0</v>
      </c>
      <c r="AE1339">
        <v>0</v>
      </c>
      <c r="AF1339">
        <v>0</v>
      </c>
      <c r="AG1339">
        <v>0</v>
      </c>
      <c r="AH1339">
        <v>0</v>
      </c>
      <c r="AI1339">
        <v>0</v>
      </c>
      <c r="AJ1339">
        <v>0</v>
      </c>
      <c r="AK1339">
        <v>0</v>
      </c>
      <c r="AL1339">
        <v>0</v>
      </c>
      <c r="AM1339">
        <v>0</v>
      </c>
      <c r="AN1339">
        <v>0</v>
      </c>
      <c r="AO1339">
        <v>0</v>
      </c>
      <c r="AP1339">
        <v>0</v>
      </c>
      <c r="AQ1339">
        <v>219.01</v>
      </c>
      <c r="AR1339">
        <v>0</v>
      </c>
      <c r="AS1339">
        <v>0</v>
      </c>
      <c r="AT1339">
        <v>0</v>
      </c>
      <c r="AU1339">
        <v>0</v>
      </c>
      <c r="AV1339">
        <v>0</v>
      </c>
      <c r="AW1339">
        <v>0</v>
      </c>
      <c r="AX1339">
        <v>0</v>
      </c>
      <c r="AY1339">
        <v>0</v>
      </c>
      <c r="AZ1339">
        <v>0</v>
      </c>
      <c r="BA1339">
        <v>0</v>
      </c>
      <c r="BB1339">
        <v>0</v>
      </c>
      <c r="BC1339">
        <v>0</v>
      </c>
      <c r="BD1339">
        <v>0</v>
      </c>
      <c r="BE1339">
        <v>0</v>
      </c>
      <c r="BF1339">
        <v>0</v>
      </c>
      <c r="BG1339">
        <v>0</v>
      </c>
      <c r="BH1339">
        <v>1</v>
      </c>
      <c r="BI1339">
        <v>4.5999999999999996</v>
      </c>
      <c r="BJ1339">
        <v>10.4</v>
      </c>
      <c r="BK1339">
        <v>10.5</v>
      </c>
      <c r="BL1339">
        <v>652.70000000000005</v>
      </c>
      <c r="BM1339">
        <v>97.91</v>
      </c>
      <c r="BN1339">
        <v>750.61</v>
      </c>
      <c r="BO1339">
        <v>750.61</v>
      </c>
      <c r="BQ1339" t="s">
        <v>512</v>
      </c>
      <c r="BR1339" t="s">
        <v>82</v>
      </c>
      <c r="BS1339" s="3">
        <v>46002</v>
      </c>
      <c r="BT1339" s="4">
        <v>0.36319444444444443</v>
      </c>
      <c r="BU1339" t="s">
        <v>1329</v>
      </c>
      <c r="BV1339" t="s">
        <v>84</v>
      </c>
      <c r="BY1339">
        <v>52026</v>
      </c>
      <c r="CA1339" t="s">
        <v>2040</v>
      </c>
      <c r="CC1339" t="s">
        <v>110</v>
      </c>
      <c r="CD1339">
        <v>1748</v>
      </c>
      <c r="CE1339" t="s">
        <v>86</v>
      </c>
      <c r="CF1339" s="3">
        <v>46003</v>
      </c>
      <c r="CI1339">
        <v>1</v>
      </c>
      <c r="CJ1339">
        <v>1</v>
      </c>
      <c r="CK1339">
        <v>34</v>
      </c>
      <c r="CL1339" t="s">
        <v>87</v>
      </c>
    </row>
    <row r="1340" spans="1:90" x14ac:dyDescent="0.3">
      <c r="A1340" t="s">
        <v>72</v>
      </c>
      <c r="B1340" t="s">
        <v>73</v>
      </c>
      <c r="C1340" t="s">
        <v>74</v>
      </c>
      <c r="E1340" t="str">
        <f>"080069815263"</f>
        <v>080069815263</v>
      </c>
      <c r="F1340" s="3">
        <v>46001</v>
      </c>
      <c r="G1340">
        <v>202609</v>
      </c>
      <c r="H1340" t="s">
        <v>75</v>
      </c>
      <c r="I1340" t="s">
        <v>76</v>
      </c>
      <c r="J1340" t="s">
        <v>77</v>
      </c>
      <c r="K1340" t="s">
        <v>78</v>
      </c>
      <c r="L1340" t="s">
        <v>502</v>
      </c>
      <c r="M1340" t="s">
        <v>503</v>
      </c>
      <c r="N1340" t="s">
        <v>1149</v>
      </c>
      <c r="O1340" t="s">
        <v>89</v>
      </c>
      <c r="P1340" t="str">
        <f>"4170072822                    "</f>
        <v xml:space="preserve">4170072822                    </v>
      </c>
      <c r="Q1340">
        <v>0</v>
      </c>
      <c r="R1340">
        <v>0</v>
      </c>
      <c r="S1340">
        <v>0</v>
      </c>
      <c r="T1340">
        <v>0</v>
      </c>
      <c r="U1340">
        <v>0</v>
      </c>
      <c r="V1340">
        <v>0</v>
      </c>
      <c r="W1340">
        <v>0</v>
      </c>
      <c r="X1340">
        <v>0</v>
      </c>
      <c r="Y1340">
        <v>0</v>
      </c>
      <c r="Z1340">
        <v>0</v>
      </c>
      <c r="AA1340">
        <v>0</v>
      </c>
      <c r="AB1340">
        <v>0</v>
      </c>
      <c r="AC1340">
        <v>0</v>
      </c>
      <c r="AD1340">
        <v>0</v>
      </c>
      <c r="AE1340">
        <v>0</v>
      </c>
      <c r="AF1340">
        <v>0</v>
      </c>
      <c r="AG1340">
        <v>0</v>
      </c>
      <c r="AH1340">
        <v>0</v>
      </c>
      <c r="AI1340">
        <v>0</v>
      </c>
      <c r="AJ1340">
        <v>0</v>
      </c>
      <c r="AK1340">
        <v>0</v>
      </c>
      <c r="AL1340">
        <v>0</v>
      </c>
      <c r="AM1340">
        <v>0</v>
      </c>
      <c r="AN1340">
        <v>0</v>
      </c>
      <c r="AO1340">
        <v>0</v>
      </c>
      <c r="AP1340">
        <v>0</v>
      </c>
      <c r="AQ1340">
        <v>19.940000000000001</v>
      </c>
      <c r="AR1340">
        <v>0</v>
      </c>
      <c r="AS1340">
        <v>0</v>
      </c>
      <c r="AT1340">
        <v>0</v>
      </c>
      <c r="AU1340">
        <v>0</v>
      </c>
      <c r="AV1340">
        <v>0</v>
      </c>
      <c r="AW1340">
        <v>0</v>
      </c>
      <c r="AX1340">
        <v>0</v>
      </c>
      <c r="AY1340">
        <v>0</v>
      </c>
      <c r="AZ1340">
        <v>0</v>
      </c>
      <c r="BA1340">
        <v>0</v>
      </c>
      <c r="BB1340">
        <v>0</v>
      </c>
      <c r="BC1340">
        <v>0</v>
      </c>
      <c r="BD1340">
        <v>0</v>
      </c>
      <c r="BE1340">
        <v>0</v>
      </c>
      <c r="BF1340">
        <v>0</v>
      </c>
      <c r="BG1340">
        <v>0</v>
      </c>
      <c r="BH1340">
        <v>1</v>
      </c>
      <c r="BI1340">
        <v>1</v>
      </c>
      <c r="BJ1340">
        <v>0.2</v>
      </c>
      <c r="BK1340">
        <v>1</v>
      </c>
      <c r="BL1340">
        <v>59.42</v>
      </c>
      <c r="BM1340">
        <v>8.91</v>
      </c>
      <c r="BN1340">
        <v>68.33</v>
      </c>
      <c r="BO1340">
        <v>68.33</v>
      </c>
      <c r="BQ1340" t="s">
        <v>1150</v>
      </c>
      <c r="BR1340" t="s">
        <v>82</v>
      </c>
      <c r="BS1340" s="3">
        <v>46002</v>
      </c>
      <c r="BT1340" s="4">
        <v>0.41319444444444442</v>
      </c>
      <c r="BU1340" t="s">
        <v>2041</v>
      </c>
      <c r="BV1340" t="s">
        <v>84</v>
      </c>
      <c r="BY1340">
        <v>1200</v>
      </c>
      <c r="CA1340" t="s">
        <v>507</v>
      </c>
      <c r="CC1340" t="s">
        <v>503</v>
      </c>
      <c r="CD1340">
        <v>1559</v>
      </c>
      <c r="CE1340" t="s">
        <v>134</v>
      </c>
      <c r="CF1340" s="3">
        <v>46003</v>
      </c>
      <c r="CI1340">
        <v>1</v>
      </c>
      <c r="CJ1340">
        <v>1</v>
      </c>
      <c r="CK1340">
        <v>22</v>
      </c>
      <c r="CL1340" t="s">
        <v>87</v>
      </c>
    </row>
    <row r="1341" spans="1:90" x14ac:dyDescent="0.3">
      <c r="A1341" t="s">
        <v>72</v>
      </c>
      <c r="B1341" t="s">
        <v>73</v>
      </c>
      <c r="C1341" t="s">
        <v>74</v>
      </c>
      <c r="E1341" t="str">
        <f>"080069815296"</f>
        <v>080069815296</v>
      </c>
      <c r="F1341" s="3">
        <v>46001</v>
      </c>
      <c r="G1341">
        <v>202609</v>
      </c>
      <c r="H1341" t="s">
        <v>75</v>
      </c>
      <c r="I1341" t="s">
        <v>76</v>
      </c>
      <c r="J1341" t="s">
        <v>77</v>
      </c>
      <c r="K1341" t="s">
        <v>78</v>
      </c>
      <c r="L1341" t="s">
        <v>141</v>
      </c>
      <c r="M1341" t="s">
        <v>142</v>
      </c>
      <c r="N1341" t="s">
        <v>324</v>
      </c>
      <c r="O1341" t="s">
        <v>89</v>
      </c>
      <c r="P1341" t="str">
        <f>"4170072814                    "</f>
        <v xml:space="preserve">4170072814                    </v>
      </c>
      <c r="Q1341">
        <v>0</v>
      </c>
      <c r="R1341">
        <v>0</v>
      </c>
      <c r="S1341">
        <v>0</v>
      </c>
      <c r="T1341">
        <v>0</v>
      </c>
      <c r="U1341">
        <v>0</v>
      </c>
      <c r="V1341">
        <v>0</v>
      </c>
      <c r="W1341">
        <v>0</v>
      </c>
      <c r="X1341">
        <v>0</v>
      </c>
      <c r="Y1341">
        <v>0</v>
      </c>
      <c r="Z1341">
        <v>0</v>
      </c>
      <c r="AA1341">
        <v>0</v>
      </c>
      <c r="AB1341">
        <v>0</v>
      </c>
      <c r="AC1341">
        <v>0</v>
      </c>
      <c r="AD1341">
        <v>0</v>
      </c>
      <c r="AE1341">
        <v>0</v>
      </c>
      <c r="AF1341">
        <v>0</v>
      </c>
      <c r="AG1341">
        <v>0</v>
      </c>
      <c r="AH1341">
        <v>0</v>
      </c>
      <c r="AI1341">
        <v>0</v>
      </c>
      <c r="AJ1341">
        <v>0</v>
      </c>
      <c r="AK1341">
        <v>0</v>
      </c>
      <c r="AL1341">
        <v>0</v>
      </c>
      <c r="AM1341">
        <v>0</v>
      </c>
      <c r="AN1341">
        <v>0</v>
      </c>
      <c r="AO1341">
        <v>0</v>
      </c>
      <c r="AP1341">
        <v>0</v>
      </c>
      <c r="AQ1341">
        <v>25.52</v>
      </c>
      <c r="AR1341">
        <v>0</v>
      </c>
      <c r="AS1341">
        <v>0</v>
      </c>
      <c r="AT1341">
        <v>0</v>
      </c>
      <c r="AU1341">
        <v>0</v>
      </c>
      <c r="AV1341">
        <v>0</v>
      </c>
      <c r="AW1341">
        <v>0</v>
      </c>
      <c r="AX1341">
        <v>0</v>
      </c>
      <c r="AY1341">
        <v>0</v>
      </c>
      <c r="AZ1341">
        <v>0</v>
      </c>
      <c r="BA1341">
        <v>0</v>
      </c>
      <c r="BB1341">
        <v>0</v>
      </c>
      <c r="BC1341">
        <v>0</v>
      </c>
      <c r="BD1341">
        <v>0</v>
      </c>
      <c r="BE1341">
        <v>0</v>
      </c>
      <c r="BF1341">
        <v>0</v>
      </c>
      <c r="BG1341">
        <v>0</v>
      </c>
      <c r="BH1341">
        <v>1</v>
      </c>
      <c r="BI1341">
        <v>1.2</v>
      </c>
      <c r="BJ1341">
        <v>1.8</v>
      </c>
      <c r="BK1341">
        <v>2</v>
      </c>
      <c r="BL1341">
        <v>76.06</v>
      </c>
      <c r="BM1341">
        <v>11.41</v>
      </c>
      <c r="BN1341">
        <v>87.47</v>
      </c>
      <c r="BO1341">
        <v>87.47</v>
      </c>
      <c r="BQ1341" t="s">
        <v>325</v>
      </c>
      <c r="BR1341" t="s">
        <v>82</v>
      </c>
      <c r="BS1341" s="3">
        <v>46002</v>
      </c>
      <c r="BT1341" s="4">
        <v>0.44444444444444442</v>
      </c>
      <c r="BU1341" t="s">
        <v>1851</v>
      </c>
      <c r="BV1341" t="s">
        <v>87</v>
      </c>
      <c r="BW1341" t="s">
        <v>246</v>
      </c>
      <c r="BX1341" t="s">
        <v>1574</v>
      </c>
      <c r="BY1341">
        <v>9094.4</v>
      </c>
      <c r="CA1341" t="s">
        <v>277</v>
      </c>
      <c r="CC1341" t="s">
        <v>142</v>
      </c>
      <c r="CD1341">
        <v>6001</v>
      </c>
      <c r="CE1341" t="s">
        <v>86</v>
      </c>
      <c r="CF1341" s="3">
        <v>46002</v>
      </c>
      <c r="CI1341">
        <v>1</v>
      </c>
      <c r="CJ1341">
        <v>1</v>
      </c>
      <c r="CK1341">
        <v>21</v>
      </c>
      <c r="CL1341" t="s">
        <v>87</v>
      </c>
    </row>
    <row r="1342" spans="1:90" x14ac:dyDescent="0.3">
      <c r="A1342" t="s">
        <v>72</v>
      </c>
      <c r="B1342" t="s">
        <v>73</v>
      </c>
      <c r="C1342" t="s">
        <v>74</v>
      </c>
      <c r="E1342" t="str">
        <f>"080069815341"</f>
        <v>080069815341</v>
      </c>
      <c r="F1342" s="3">
        <v>46001</v>
      </c>
      <c r="G1342">
        <v>202609</v>
      </c>
      <c r="H1342" t="s">
        <v>75</v>
      </c>
      <c r="I1342" t="s">
        <v>76</v>
      </c>
      <c r="J1342" t="s">
        <v>77</v>
      </c>
      <c r="K1342" t="s">
        <v>78</v>
      </c>
      <c r="L1342" t="s">
        <v>465</v>
      </c>
      <c r="M1342" t="s">
        <v>466</v>
      </c>
      <c r="N1342" t="s">
        <v>738</v>
      </c>
      <c r="O1342" t="s">
        <v>89</v>
      </c>
      <c r="P1342" t="str">
        <f>"4170072800                    "</f>
        <v xml:space="preserve">4170072800                    </v>
      </c>
      <c r="Q1342">
        <v>0</v>
      </c>
      <c r="R1342">
        <v>0</v>
      </c>
      <c r="S1342">
        <v>0</v>
      </c>
      <c r="T1342">
        <v>0</v>
      </c>
      <c r="U1342">
        <v>0</v>
      </c>
      <c r="V1342">
        <v>0</v>
      </c>
      <c r="W1342">
        <v>0</v>
      </c>
      <c r="X1342">
        <v>0</v>
      </c>
      <c r="Y1342">
        <v>0</v>
      </c>
      <c r="Z1342">
        <v>0</v>
      </c>
      <c r="AA1342">
        <v>0</v>
      </c>
      <c r="AB1342">
        <v>0</v>
      </c>
      <c r="AC1342">
        <v>0</v>
      </c>
      <c r="AD1342">
        <v>0</v>
      </c>
      <c r="AE1342">
        <v>0</v>
      </c>
      <c r="AF1342">
        <v>0</v>
      </c>
      <c r="AG1342">
        <v>0</v>
      </c>
      <c r="AH1342">
        <v>0</v>
      </c>
      <c r="AI1342">
        <v>0</v>
      </c>
      <c r="AJ1342">
        <v>0</v>
      </c>
      <c r="AK1342">
        <v>0</v>
      </c>
      <c r="AL1342">
        <v>0</v>
      </c>
      <c r="AM1342">
        <v>0</v>
      </c>
      <c r="AN1342">
        <v>0</v>
      </c>
      <c r="AO1342">
        <v>0</v>
      </c>
      <c r="AP1342">
        <v>0</v>
      </c>
      <c r="AQ1342">
        <v>19.940000000000001</v>
      </c>
      <c r="AR1342">
        <v>0</v>
      </c>
      <c r="AS1342">
        <v>0</v>
      </c>
      <c r="AT1342">
        <v>0</v>
      </c>
      <c r="AU1342">
        <v>0</v>
      </c>
      <c r="AV1342">
        <v>0</v>
      </c>
      <c r="AW1342">
        <v>0</v>
      </c>
      <c r="AX1342">
        <v>0</v>
      </c>
      <c r="AY1342">
        <v>0</v>
      </c>
      <c r="AZ1342">
        <v>0</v>
      </c>
      <c r="BA1342">
        <v>0</v>
      </c>
      <c r="BB1342">
        <v>0</v>
      </c>
      <c r="BC1342">
        <v>0</v>
      </c>
      <c r="BD1342">
        <v>0</v>
      </c>
      <c r="BE1342">
        <v>0</v>
      </c>
      <c r="BF1342">
        <v>0</v>
      </c>
      <c r="BG1342">
        <v>0</v>
      </c>
      <c r="BH1342">
        <v>1</v>
      </c>
      <c r="BI1342">
        <v>2.2999999999999998</v>
      </c>
      <c r="BJ1342">
        <v>1.7</v>
      </c>
      <c r="BK1342">
        <v>3</v>
      </c>
      <c r="BL1342">
        <v>59.42</v>
      </c>
      <c r="BM1342">
        <v>8.91</v>
      </c>
      <c r="BN1342">
        <v>68.33</v>
      </c>
      <c r="BO1342">
        <v>68.33</v>
      </c>
      <c r="BQ1342" t="s">
        <v>739</v>
      </c>
      <c r="BR1342" t="s">
        <v>82</v>
      </c>
      <c r="BS1342" s="3">
        <v>46002</v>
      </c>
      <c r="BT1342" s="4">
        <v>0.33333333333333331</v>
      </c>
      <c r="BU1342" t="s">
        <v>1455</v>
      </c>
      <c r="BV1342" t="s">
        <v>84</v>
      </c>
      <c r="BY1342">
        <v>8685</v>
      </c>
      <c r="CA1342" t="s">
        <v>727</v>
      </c>
      <c r="CC1342" t="s">
        <v>466</v>
      </c>
      <c r="CD1342">
        <v>1428</v>
      </c>
      <c r="CE1342" t="s">
        <v>86</v>
      </c>
      <c r="CF1342" s="3">
        <v>46003</v>
      </c>
      <c r="CI1342">
        <v>1</v>
      </c>
      <c r="CJ1342">
        <v>1</v>
      </c>
      <c r="CK1342">
        <v>22</v>
      </c>
      <c r="CL1342" t="s">
        <v>87</v>
      </c>
    </row>
    <row r="1343" spans="1:90" x14ac:dyDescent="0.3">
      <c r="A1343" t="s">
        <v>72</v>
      </c>
      <c r="B1343" t="s">
        <v>73</v>
      </c>
      <c r="C1343" t="s">
        <v>74</v>
      </c>
      <c r="E1343" t="str">
        <f>"080069816175"</f>
        <v>080069816175</v>
      </c>
      <c r="F1343" s="3">
        <v>46001</v>
      </c>
      <c r="G1343">
        <v>202609</v>
      </c>
      <c r="H1343" t="s">
        <v>75</v>
      </c>
      <c r="I1343" t="s">
        <v>76</v>
      </c>
      <c r="J1343" t="s">
        <v>77</v>
      </c>
      <c r="K1343" t="s">
        <v>78</v>
      </c>
      <c r="L1343" t="s">
        <v>548</v>
      </c>
      <c r="M1343" t="s">
        <v>549</v>
      </c>
      <c r="N1343" t="s">
        <v>572</v>
      </c>
      <c r="O1343" t="s">
        <v>89</v>
      </c>
      <c r="P1343" t="str">
        <f>"4170072811                    "</f>
        <v xml:space="preserve">4170072811                    </v>
      </c>
      <c r="Q1343">
        <v>0</v>
      </c>
      <c r="R1343">
        <v>0</v>
      </c>
      <c r="S1343">
        <v>0</v>
      </c>
      <c r="T1343">
        <v>0</v>
      </c>
      <c r="U1343">
        <v>0</v>
      </c>
      <c r="V1343">
        <v>0</v>
      </c>
      <c r="W1343">
        <v>0</v>
      </c>
      <c r="X1343">
        <v>0</v>
      </c>
      <c r="Y1343">
        <v>0</v>
      </c>
      <c r="Z1343">
        <v>0</v>
      </c>
      <c r="AA1343">
        <v>0</v>
      </c>
      <c r="AB1343">
        <v>0</v>
      </c>
      <c r="AC1343">
        <v>0</v>
      </c>
      <c r="AD1343">
        <v>0</v>
      </c>
      <c r="AE1343">
        <v>0</v>
      </c>
      <c r="AF1343">
        <v>0</v>
      </c>
      <c r="AG1343">
        <v>0</v>
      </c>
      <c r="AH1343">
        <v>0</v>
      </c>
      <c r="AI1343">
        <v>0</v>
      </c>
      <c r="AJ1343">
        <v>0</v>
      </c>
      <c r="AK1343">
        <v>0</v>
      </c>
      <c r="AL1343">
        <v>0</v>
      </c>
      <c r="AM1343">
        <v>0</v>
      </c>
      <c r="AN1343">
        <v>0</v>
      </c>
      <c r="AO1343">
        <v>0</v>
      </c>
      <c r="AP1343">
        <v>0</v>
      </c>
      <c r="AQ1343">
        <v>172.28</v>
      </c>
      <c r="AR1343">
        <v>0</v>
      </c>
      <c r="AS1343">
        <v>0</v>
      </c>
      <c r="AT1343">
        <v>0</v>
      </c>
      <c r="AU1343">
        <v>0</v>
      </c>
      <c r="AV1343">
        <v>0</v>
      </c>
      <c r="AW1343">
        <v>0</v>
      </c>
      <c r="AX1343">
        <v>0</v>
      </c>
      <c r="AY1343">
        <v>0</v>
      </c>
      <c r="AZ1343">
        <v>0</v>
      </c>
      <c r="BA1343">
        <v>0</v>
      </c>
      <c r="BB1343">
        <v>0</v>
      </c>
      <c r="BC1343">
        <v>0</v>
      </c>
      <c r="BD1343">
        <v>0</v>
      </c>
      <c r="BE1343">
        <v>0</v>
      </c>
      <c r="BF1343">
        <v>0</v>
      </c>
      <c r="BG1343">
        <v>0</v>
      </c>
      <c r="BH1343">
        <v>1</v>
      </c>
      <c r="BI1343">
        <v>7.4</v>
      </c>
      <c r="BJ1343">
        <v>4.3</v>
      </c>
      <c r="BK1343">
        <v>7.5</v>
      </c>
      <c r="BL1343">
        <v>513.41999999999996</v>
      </c>
      <c r="BM1343">
        <v>77.010000000000005</v>
      </c>
      <c r="BN1343">
        <v>590.42999999999995</v>
      </c>
      <c r="BO1343">
        <v>590.42999999999995</v>
      </c>
      <c r="BQ1343" t="s">
        <v>573</v>
      </c>
      <c r="BR1343" t="s">
        <v>82</v>
      </c>
      <c r="BS1343" s="3">
        <v>46002</v>
      </c>
      <c r="BT1343" s="4">
        <v>0.41458333333333336</v>
      </c>
      <c r="BU1343" t="s">
        <v>574</v>
      </c>
      <c r="BV1343" t="s">
        <v>84</v>
      </c>
      <c r="BY1343">
        <v>21506.36</v>
      </c>
      <c r="CA1343">
        <v>9703035538081</v>
      </c>
      <c r="CC1343" t="s">
        <v>549</v>
      </c>
      <c r="CD1343">
        <v>2302</v>
      </c>
      <c r="CE1343" t="s">
        <v>86</v>
      </c>
      <c r="CF1343" s="3">
        <v>46002</v>
      </c>
      <c r="CI1343">
        <v>1</v>
      </c>
      <c r="CJ1343">
        <v>1</v>
      </c>
      <c r="CK1343">
        <v>23</v>
      </c>
      <c r="CL1343" t="s">
        <v>87</v>
      </c>
    </row>
    <row r="1344" spans="1:90" x14ac:dyDescent="0.3">
      <c r="A1344" t="s">
        <v>72</v>
      </c>
      <c r="B1344" t="s">
        <v>73</v>
      </c>
      <c r="C1344" t="s">
        <v>74</v>
      </c>
      <c r="E1344" t="str">
        <f>"080069816200"</f>
        <v>080069816200</v>
      </c>
      <c r="F1344" s="3">
        <v>46001</v>
      </c>
      <c r="G1344">
        <v>202609</v>
      </c>
      <c r="H1344" t="s">
        <v>75</v>
      </c>
      <c r="I1344" t="s">
        <v>76</v>
      </c>
      <c r="J1344" t="s">
        <v>77</v>
      </c>
      <c r="K1344" t="s">
        <v>78</v>
      </c>
      <c r="L1344" t="s">
        <v>100</v>
      </c>
      <c r="M1344" t="s">
        <v>101</v>
      </c>
      <c r="N1344" t="s">
        <v>498</v>
      </c>
      <c r="O1344" t="s">
        <v>89</v>
      </c>
      <c r="P1344" t="str">
        <f>"4170072828                    "</f>
        <v xml:space="preserve">4170072828                    </v>
      </c>
      <c r="Q1344">
        <v>0</v>
      </c>
      <c r="R1344">
        <v>0</v>
      </c>
      <c r="S1344">
        <v>0</v>
      </c>
      <c r="T1344">
        <v>0</v>
      </c>
      <c r="U1344">
        <v>0</v>
      </c>
      <c r="V1344">
        <v>0</v>
      </c>
      <c r="W1344">
        <v>0</v>
      </c>
      <c r="X1344">
        <v>0</v>
      </c>
      <c r="Y1344">
        <v>0</v>
      </c>
      <c r="Z1344">
        <v>0</v>
      </c>
      <c r="AA1344">
        <v>0</v>
      </c>
      <c r="AB1344">
        <v>0</v>
      </c>
      <c r="AC1344">
        <v>0</v>
      </c>
      <c r="AD1344">
        <v>0</v>
      </c>
      <c r="AE1344">
        <v>0</v>
      </c>
      <c r="AF1344">
        <v>0</v>
      </c>
      <c r="AG1344">
        <v>0</v>
      </c>
      <c r="AH1344">
        <v>0</v>
      </c>
      <c r="AI1344">
        <v>0</v>
      </c>
      <c r="AJ1344">
        <v>0</v>
      </c>
      <c r="AK1344">
        <v>0</v>
      </c>
      <c r="AL1344">
        <v>0</v>
      </c>
      <c r="AM1344">
        <v>0</v>
      </c>
      <c r="AN1344">
        <v>0</v>
      </c>
      <c r="AO1344">
        <v>0</v>
      </c>
      <c r="AP1344">
        <v>0</v>
      </c>
      <c r="AQ1344">
        <v>44.66</v>
      </c>
      <c r="AR1344">
        <v>0</v>
      </c>
      <c r="AS1344">
        <v>0</v>
      </c>
      <c r="AT1344">
        <v>0</v>
      </c>
      <c r="AU1344">
        <v>0</v>
      </c>
      <c r="AV1344">
        <v>0</v>
      </c>
      <c r="AW1344">
        <v>0</v>
      </c>
      <c r="AX1344">
        <v>0</v>
      </c>
      <c r="AY1344">
        <v>0</v>
      </c>
      <c r="AZ1344">
        <v>0</v>
      </c>
      <c r="BA1344">
        <v>0</v>
      </c>
      <c r="BB1344">
        <v>0</v>
      </c>
      <c r="BC1344">
        <v>0</v>
      </c>
      <c r="BD1344">
        <v>0</v>
      </c>
      <c r="BE1344">
        <v>0</v>
      </c>
      <c r="BF1344">
        <v>0</v>
      </c>
      <c r="BG1344">
        <v>0</v>
      </c>
      <c r="BH1344">
        <v>1</v>
      </c>
      <c r="BI1344">
        <v>3.2</v>
      </c>
      <c r="BJ1344">
        <v>1.7</v>
      </c>
      <c r="BK1344">
        <v>3.5</v>
      </c>
      <c r="BL1344">
        <v>133.09</v>
      </c>
      <c r="BM1344">
        <v>19.96</v>
      </c>
      <c r="BN1344">
        <v>153.05000000000001</v>
      </c>
      <c r="BO1344">
        <v>153.05000000000001</v>
      </c>
      <c r="BQ1344" t="s">
        <v>499</v>
      </c>
      <c r="BR1344" t="s">
        <v>82</v>
      </c>
      <c r="BS1344" s="3">
        <v>46002</v>
      </c>
      <c r="BT1344" s="4">
        <v>0.42222222222222222</v>
      </c>
      <c r="BU1344" t="s">
        <v>1980</v>
      </c>
      <c r="BV1344" t="s">
        <v>84</v>
      </c>
      <c r="BY1344">
        <v>8365.5</v>
      </c>
      <c r="CA1344" t="s">
        <v>630</v>
      </c>
      <c r="CC1344" t="s">
        <v>101</v>
      </c>
      <c r="CD1344">
        <v>4052</v>
      </c>
      <c r="CE1344" t="s">
        <v>86</v>
      </c>
      <c r="CF1344" s="3">
        <v>46003</v>
      </c>
      <c r="CI1344">
        <v>1</v>
      </c>
      <c r="CJ1344">
        <v>1</v>
      </c>
      <c r="CK1344">
        <v>21</v>
      </c>
      <c r="CL1344" t="s">
        <v>87</v>
      </c>
    </row>
    <row r="1345" spans="1:90" x14ac:dyDescent="0.3">
      <c r="A1345" t="s">
        <v>72</v>
      </c>
      <c r="B1345" t="s">
        <v>73</v>
      </c>
      <c r="C1345" t="s">
        <v>74</v>
      </c>
      <c r="E1345" t="str">
        <f>"080069816241"</f>
        <v>080069816241</v>
      </c>
      <c r="F1345" s="3">
        <v>46001</v>
      </c>
      <c r="G1345">
        <v>202609</v>
      </c>
      <c r="H1345" t="s">
        <v>75</v>
      </c>
      <c r="I1345" t="s">
        <v>76</v>
      </c>
      <c r="J1345" t="s">
        <v>77</v>
      </c>
      <c r="K1345" t="s">
        <v>78</v>
      </c>
      <c r="L1345" t="s">
        <v>156</v>
      </c>
      <c r="M1345" t="s">
        <v>157</v>
      </c>
      <c r="N1345" t="s">
        <v>2042</v>
      </c>
      <c r="O1345" t="s">
        <v>89</v>
      </c>
      <c r="P1345" t="str">
        <f>"4170072863                    "</f>
        <v xml:space="preserve">4170072863                    </v>
      </c>
      <c r="Q1345">
        <v>0</v>
      </c>
      <c r="R1345">
        <v>0</v>
      </c>
      <c r="S1345">
        <v>0</v>
      </c>
      <c r="T1345">
        <v>0</v>
      </c>
      <c r="U1345">
        <v>0</v>
      </c>
      <c r="V1345">
        <v>0</v>
      </c>
      <c r="W1345">
        <v>0</v>
      </c>
      <c r="X1345">
        <v>0</v>
      </c>
      <c r="Y1345">
        <v>0</v>
      </c>
      <c r="Z1345">
        <v>0</v>
      </c>
      <c r="AA1345">
        <v>0</v>
      </c>
      <c r="AB1345">
        <v>0</v>
      </c>
      <c r="AC1345">
        <v>0</v>
      </c>
      <c r="AD1345">
        <v>0</v>
      </c>
      <c r="AE1345">
        <v>0</v>
      </c>
      <c r="AF1345">
        <v>0</v>
      </c>
      <c r="AG1345">
        <v>0</v>
      </c>
      <c r="AH1345">
        <v>0</v>
      </c>
      <c r="AI1345">
        <v>0</v>
      </c>
      <c r="AJ1345">
        <v>0</v>
      </c>
      <c r="AK1345">
        <v>0</v>
      </c>
      <c r="AL1345">
        <v>0</v>
      </c>
      <c r="AM1345">
        <v>0</v>
      </c>
      <c r="AN1345">
        <v>0</v>
      </c>
      <c r="AO1345">
        <v>0</v>
      </c>
      <c r="AP1345">
        <v>0</v>
      </c>
      <c r="AQ1345">
        <v>25.52</v>
      </c>
      <c r="AR1345">
        <v>0</v>
      </c>
      <c r="AS1345">
        <v>0</v>
      </c>
      <c r="AT1345">
        <v>0</v>
      </c>
      <c r="AU1345">
        <v>0</v>
      </c>
      <c r="AV1345">
        <v>0</v>
      </c>
      <c r="AW1345">
        <v>0</v>
      </c>
      <c r="AX1345">
        <v>0</v>
      </c>
      <c r="AY1345">
        <v>0</v>
      </c>
      <c r="AZ1345">
        <v>0</v>
      </c>
      <c r="BA1345">
        <v>0</v>
      </c>
      <c r="BB1345">
        <v>0</v>
      </c>
      <c r="BC1345">
        <v>0</v>
      </c>
      <c r="BD1345">
        <v>0</v>
      </c>
      <c r="BE1345">
        <v>0</v>
      </c>
      <c r="BF1345">
        <v>0</v>
      </c>
      <c r="BG1345">
        <v>0</v>
      </c>
      <c r="BH1345">
        <v>1</v>
      </c>
      <c r="BI1345">
        <v>1.4</v>
      </c>
      <c r="BJ1345">
        <v>1.6</v>
      </c>
      <c r="BK1345">
        <v>2</v>
      </c>
      <c r="BL1345">
        <v>76.06</v>
      </c>
      <c r="BM1345">
        <v>11.41</v>
      </c>
      <c r="BN1345">
        <v>87.47</v>
      </c>
      <c r="BO1345">
        <v>87.47</v>
      </c>
      <c r="BQ1345" t="s">
        <v>2043</v>
      </c>
      <c r="BR1345" t="s">
        <v>82</v>
      </c>
      <c r="BS1345" s="3">
        <v>46002</v>
      </c>
      <c r="BT1345" s="4">
        <v>0.38333333333333336</v>
      </c>
      <c r="BU1345" t="s">
        <v>2044</v>
      </c>
      <c r="BV1345" t="s">
        <v>84</v>
      </c>
      <c r="BY1345">
        <v>8177.1</v>
      </c>
      <c r="CA1345" t="s">
        <v>2045</v>
      </c>
      <c r="CC1345" t="s">
        <v>157</v>
      </c>
      <c r="CD1345">
        <v>7764</v>
      </c>
      <c r="CE1345" t="s">
        <v>86</v>
      </c>
      <c r="CI1345">
        <v>1</v>
      </c>
      <c r="CJ1345">
        <v>1</v>
      </c>
      <c r="CK1345">
        <v>21</v>
      </c>
      <c r="CL1345" t="s">
        <v>87</v>
      </c>
    </row>
    <row r="1346" spans="1:90" x14ac:dyDescent="0.3">
      <c r="A1346" t="s">
        <v>72</v>
      </c>
      <c r="B1346" t="s">
        <v>73</v>
      </c>
      <c r="C1346" t="s">
        <v>74</v>
      </c>
      <c r="E1346" t="str">
        <f>"080069816309"</f>
        <v>080069816309</v>
      </c>
      <c r="F1346" s="3">
        <v>46001</v>
      </c>
      <c r="G1346">
        <v>202609</v>
      </c>
      <c r="H1346" t="s">
        <v>75</v>
      </c>
      <c r="I1346" t="s">
        <v>76</v>
      </c>
      <c r="J1346" t="s">
        <v>77</v>
      </c>
      <c r="K1346" t="s">
        <v>78</v>
      </c>
      <c r="L1346" t="s">
        <v>535</v>
      </c>
      <c r="M1346" t="s">
        <v>535</v>
      </c>
      <c r="N1346" t="s">
        <v>924</v>
      </c>
      <c r="O1346" t="s">
        <v>89</v>
      </c>
      <c r="P1346" t="str">
        <f>"4170072876                    "</f>
        <v xml:space="preserve">4170072876                    </v>
      </c>
      <c r="Q1346">
        <v>0</v>
      </c>
      <c r="R1346">
        <v>0</v>
      </c>
      <c r="S1346">
        <v>0</v>
      </c>
      <c r="T1346">
        <v>0</v>
      </c>
      <c r="U1346">
        <v>0</v>
      </c>
      <c r="V1346">
        <v>0</v>
      </c>
      <c r="W1346">
        <v>0</v>
      </c>
      <c r="X1346">
        <v>0</v>
      </c>
      <c r="Y1346">
        <v>0</v>
      </c>
      <c r="Z1346">
        <v>0</v>
      </c>
      <c r="AA1346">
        <v>0</v>
      </c>
      <c r="AB1346">
        <v>0</v>
      </c>
      <c r="AC1346">
        <v>0</v>
      </c>
      <c r="AD1346">
        <v>0</v>
      </c>
      <c r="AE1346">
        <v>0</v>
      </c>
      <c r="AF1346">
        <v>0</v>
      </c>
      <c r="AG1346">
        <v>0</v>
      </c>
      <c r="AH1346">
        <v>0</v>
      </c>
      <c r="AI1346">
        <v>0</v>
      </c>
      <c r="AJ1346">
        <v>0</v>
      </c>
      <c r="AK1346">
        <v>0</v>
      </c>
      <c r="AL1346">
        <v>0</v>
      </c>
      <c r="AM1346">
        <v>0</v>
      </c>
      <c r="AN1346">
        <v>0</v>
      </c>
      <c r="AO1346">
        <v>0</v>
      </c>
      <c r="AP1346">
        <v>0</v>
      </c>
      <c r="AQ1346">
        <v>49.45</v>
      </c>
      <c r="AR1346">
        <v>0</v>
      </c>
      <c r="AS1346">
        <v>0</v>
      </c>
      <c r="AT1346">
        <v>0</v>
      </c>
      <c r="AU1346">
        <v>0</v>
      </c>
      <c r="AV1346">
        <v>0</v>
      </c>
      <c r="AW1346">
        <v>0</v>
      </c>
      <c r="AX1346">
        <v>0</v>
      </c>
      <c r="AY1346">
        <v>0</v>
      </c>
      <c r="AZ1346">
        <v>0</v>
      </c>
      <c r="BA1346">
        <v>0</v>
      </c>
      <c r="BB1346">
        <v>0</v>
      </c>
      <c r="BC1346">
        <v>0</v>
      </c>
      <c r="BD1346">
        <v>0</v>
      </c>
      <c r="BE1346">
        <v>0</v>
      </c>
      <c r="BF1346">
        <v>0</v>
      </c>
      <c r="BG1346">
        <v>0</v>
      </c>
      <c r="BH1346">
        <v>1</v>
      </c>
      <c r="BI1346">
        <v>1.2</v>
      </c>
      <c r="BJ1346">
        <v>1.8</v>
      </c>
      <c r="BK1346">
        <v>2</v>
      </c>
      <c r="BL1346">
        <v>147.38</v>
      </c>
      <c r="BM1346">
        <v>22.11</v>
      </c>
      <c r="BN1346">
        <v>169.49</v>
      </c>
      <c r="BO1346">
        <v>169.49</v>
      </c>
      <c r="BQ1346" t="s">
        <v>925</v>
      </c>
      <c r="BR1346" t="s">
        <v>82</v>
      </c>
      <c r="BS1346" t="s">
        <v>500</v>
      </c>
      <c r="BY1346">
        <v>9088.2000000000007</v>
      </c>
      <c r="CC1346" t="s">
        <v>535</v>
      </c>
      <c r="CD1346">
        <v>7654</v>
      </c>
      <c r="CE1346" t="s">
        <v>134</v>
      </c>
      <c r="CI1346">
        <v>1</v>
      </c>
      <c r="CJ1346" t="s">
        <v>500</v>
      </c>
      <c r="CK1346">
        <v>23</v>
      </c>
      <c r="CL1346" t="s">
        <v>87</v>
      </c>
    </row>
    <row r="1347" spans="1:90" x14ac:dyDescent="0.3">
      <c r="A1347" t="s">
        <v>72</v>
      </c>
      <c r="B1347" t="s">
        <v>73</v>
      </c>
      <c r="C1347" t="s">
        <v>74</v>
      </c>
      <c r="E1347" t="str">
        <f>"080069816365"</f>
        <v>080069816365</v>
      </c>
      <c r="F1347" s="3">
        <v>46001</v>
      </c>
      <c r="G1347">
        <v>202609</v>
      </c>
      <c r="H1347" t="s">
        <v>75</v>
      </c>
      <c r="I1347" t="s">
        <v>76</v>
      </c>
      <c r="J1347" t="s">
        <v>77</v>
      </c>
      <c r="K1347" t="s">
        <v>78</v>
      </c>
      <c r="L1347" t="s">
        <v>189</v>
      </c>
      <c r="M1347" t="s">
        <v>190</v>
      </c>
      <c r="N1347" t="s">
        <v>1053</v>
      </c>
      <c r="O1347" t="s">
        <v>89</v>
      </c>
      <c r="P1347" t="str">
        <f>"4170072783                    "</f>
        <v xml:space="preserve">4170072783                    </v>
      </c>
      <c r="Q1347">
        <v>0</v>
      </c>
      <c r="R1347">
        <v>0</v>
      </c>
      <c r="S1347">
        <v>0</v>
      </c>
      <c r="T1347">
        <v>0</v>
      </c>
      <c r="U1347">
        <v>0</v>
      </c>
      <c r="V1347">
        <v>0</v>
      </c>
      <c r="W1347">
        <v>0</v>
      </c>
      <c r="X1347">
        <v>0</v>
      </c>
      <c r="Y1347">
        <v>0</v>
      </c>
      <c r="Z1347">
        <v>0</v>
      </c>
      <c r="AA1347">
        <v>0</v>
      </c>
      <c r="AB1347">
        <v>0</v>
      </c>
      <c r="AC1347">
        <v>0</v>
      </c>
      <c r="AD1347">
        <v>0</v>
      </c>
      <c r="AE1347">
        <v>0</v>
      </c>
      <c r="AF1347">
        <v>0</v>
      </c>
      <c r="AG1347">
        <v>0</v>
      </c>
      <c r="AH1347">
        <v>0</v>
      </c>
      <c r="AI1347">
        <v>0</v>
      </c>
      <c r="AJ1347">
        <v>0</v>
      </c>
      <c r="AK1347">
        <v>0</v>
      </c>
      <c r="AL1347">
        <v>0</v>
      </c>
      <c r="AM1347">
        <v>0</v>
      </c>
      <c r="AN1347">
        <v>0</v>
      </c>
      <c r="AO1347">
        <v>0</v>
      </c>
      <c r="AP1347">
        <v>0</v>
      </c>
      <c r="AQ1347">
        <v>38.28</v>
      </c>
      <c r="AR1347">
        <v>0</v>
      </c>
      <c r="AS1347">
        <v>0</v>
      </c>
      <c r="AT1347">
        <v>0</v>
      </c>
      <c r="AU1347">
        <v>0</v>
      </c>
      <c r="AV1347">
        <v>0</v>
      </c>
      <c r="AW1347">
        <v>0</v>
      </c>
      <c r="AX1347">
        <v>0</v>
      </c>
      <c r="AY1347">
        <v>0</v>
      </c>
      <c r="AZ1347">
        <v>0</v>
      </c>
      <c r="BA1347">
        <v>0</v>
      </c>
      <c r="BB1347">
        <v>0</v>
      </c>
      <c r="BC1347">
        <v>0</v>
      </c>
      <c r="BD1347">
        <v>0</v>
      </c>
      <c r="BE1347">
        <v>0</v>
      </c>
      <c r="BF1347">
        <v>0</v>
      </c>
      <c r="BG1347">
        <v>0</v>
      </c>
      <c r="BH1347">
        <v>1</v>
      </c>
      <c r="BI1347">
        <v>1</v>
      </c>
      <c r="BJ1347">
        <v>2.6</v>
      </c>
      <c r="BK1347">
        <v>3</v>
      </c>
      <c r="BL1347">
        <v>114.08</v>
      </c>
      <c r="BM1347">
        <v>17.11</v>
      </c>
      <c r="BN1347">
        <v>131.19</v>
      </c>
      <c r="BO1347">
        <v>131.19</v>
      </c>
      <c r="BQ1347" t="s">
        <v>1054</v>
      </c>
      <c r="BR1347" t="s">
        <v>82</v>
      </c>
      <c r="BS1347" s="3">
        <v>46002</v>
      </c>
      <c r="BT1347" s="4">
        <v>0.51458333333333328</v>
      </c>
      <c r="BU1347" t="s">
        <v>1996</v>
      </c>
      <c r="BV1347" t="s">
        <v>87</v>
      </c>
      <c r="BY1347">
        <v>12904.99</v>
      </c>
      <c r="CA1347" t="s">
        <v>794</v>
      </c>
      <c r="CC1347" t="s">
        <v>190</v>
      </c>
      <c r="CD1347">
        <v>3201</v>
      </c>
      <c r="CE1347" t="s">
        <v>134</v>
      </c>
      <c r="CI1347">
        <v>1</v>
      </c>
      <c r="CJ1347">
        <v>1</v>
      </c>
      <c r="CK1347">
        <v>21</v>
      </c>
      <c r="CL1347" t="s">
        <v>87</v>
      </c>
    </row>
    <row r="1348" spans="1:90" x14ac:dyDescent="0.3">
      <c r="A1348" t="s">
        <v>72</v>
      </c>
      <c r="B1348" t="s">
        <v>73</v>
      </c>
      <c r="C1348" t="s">
        <v>74</v>
      </c>
      <c r="E1348" t="str">
        <f>"080069816529"</f>
        <v>080069816529</v>
      </c>
      <c r="F1348" s="3">
        <v>46001</v>
      </c>
      <c r="G1348">
        <v>202609</v>
      </c>
      <c r="H1348" t="s">
        <v>75</v>
      </c>
      <c r="I1348" t="s">
        <v>76</v>
      </c>
      <c r="J1348" t="s">
        <v>77</v>
      </c>
      <c r="K1348" t="s">
        <v>78</v>
      </c>
      <c r="L1348" t="s">
        <v>575</v>
      </c>
      <c r="M1348" t="s">
        <v>576</v>
      </c>
      <c r="N1348" t="s">
        <v>2046</v>
      </c>
      <c r="O1348" t="s">
        <v>89</v>
      </c>
      <c r="P1348" t="str">
        <f>"4170072766                    "</f>
        <v xml:space="preserve">4170072766                    </v>
      </c>
      <c r="Q1348">
        <v>0</v>
      </c>
      <c r="R1348">
        <v>0</v>
      </c>
      <c r="S1348">
        <v>0</v>
      </c>
      <c r="T1348">
        <v>0</v>
      </c>
      <c r="U1348">
        <v>0</v>
      </c>
      <c r="V1348">
        <v>0</v>
      </c>
      <c r="W1348">
        <v>0</v>
      </c>
      <c r="X1348">
        <v>0</v>
      </c>
      <c r="Y1348">
        <v>0</v>
      </c>
      <c r="Z1348">
        <v>0</v>
      </c>
      <c r="AA1348">
        <v>0</v>
      </c>
      <c r="AB1348">
        <v>0</v>
      </c>
      <c r="AC1348">
        <v>0</v>
      </c>
      <c r="AD1348">
        <v>0</v>
      </c>
      <c r="AE1348">
        <v>0</v>
      </c>
      <c r="AF1348">
        <v>0</v>
      </c>
      <c r="AG1348">
        <v>0</v>
      </c>
      <c r="AH1348">
        <v>0</v>
      </c>
      <c r="AI1348">
        <v>0</v>
      </c>
      <c r="AJ1348">
        <v>0</v>
      </c>
      <c r="AK1348">
        <v>0</v>
      </c>
      <c r="AL1348">
        <v>0</v>
      </c>
      <c r="AM1348">
        <v>0</v>
      </c>
      <c r="AN1348">
        <v>0</v>
      </c>
      <c r="AO1348">
        <v>0</v>
      </c>
      <c r="AP1348">
        <v>0</v>
      </c>
      <c r="AQ1348">
        <v>19.940000000000001</v>
      </c>
      <c r="AR1348">
        <v>0</v>
      </c>
      <c r="AS1348">
        <v>0</v>
      </c>
      <c r="AT1348">
        <v>0</v>
      </c>
      <c r="AU1348">
        <v>0</v>
      </c>
      <c r="AV1348">
        <v>0</v>
      </c>
      <c r="AW1348">
        <v>0</v>
      </c>
      <c r="AX1348">
        <v>0</v>
      </c>
      <c r="AY1348">
        <v>0</v>
      </c>
      <c r="AZ1348">
        <v>0</v>
      </c>
      <c r="BA1348">
        <v>0</v>
      </c>
      <c r="BB1348">
        <v>0</v>
      </c>
      <c r="BC1348">
        <v>0</v>
      </c>
      <c r="BD1348">
        <v>0</v>
      </c>
      <c r="BE1348">
        <v>0</v>
      </c>
      <c r="BF1348">
        <v>0</v>
      </c>
      <c r="BG1348">
        <v>0</v>
      </c>
      <c r="BH1348">
        <v>1</v>
      </c>
      <c r="BI1348">
        <v>1.3</v>
      </c>
      <c r="BJ1348">
        <v>1</v>
      </c>
      <c r="BK1348">
        <v>2</v>
      </c>
      <c r="BL1348">
        <v>59.42</v>
      </c>
      <c r="BM1348">
        <v>8.91</v>
      </c>
      <c r="BN1348">
        <v>68.33</v>
      </c>
      <c r="BO1348">
        <v>68.33</v>
      </c>
      <c r="BQ1348" t="s">
        <v>2047</v>
      </c>
      <c r="BR1348" t="s">
        <v>82</v>
      </c>
      <c r="BS1348" s="3">
        <v>46002</v>
      </c>
      <c r="BT1348" s="4">
        <v>0.32222222222222224</v>
      </c>
      <c r="BU1348" t="s">
        <v>1786</v>
      </c>
      <c r="BV1348" t="s">
        <v>84</v>
      </c>
      <c r="BY1348">
        <v>4798.26</v>
      </c>
      <c r="CA1348" t="s">
        <v>580</v>
      </c>
      <c r="CC1348" t="s">
        <v>576</v>
      </c>
      <c r="CD1348">
        <v>1451</v>
      </c>
      <c r="CE1348" t="s">
        <v>86</v>
      </c>
      <c r="CF1348" s="3">
        <v>46003</v>
      </c>
      <c r="CI1348">
        <v>1</v>
      </c>
      <c r="CJ1348">
        <v>1</v>
      </c>
      <c r="CK1348">
        <v>22</v>
      </c>
      <c r="CL1348" t="s">
        <v>87</v>
      </c>
    </row>
    <row r="1349" spans="1:90" x14ac:dyDescent="0.3">
      <c r="A1349" t="s">
        <v>72</v>
      </c>
      <c r="B1349" t="s">
        <v>73</v>
      </c>
      <c r="C1349" t="s">
        <v>74</v>
      </c>
      <c r="E1349" t="str">
        <f>"080069816578"</f>
        <v>080069816578</v>
      </c>
      <c r="F1349" s="3">
        <v>46001</v>
      </c>
      <c r="G1349">
        <v>202609</v>
      </c>
      <c r="H1349" t="s">
        <v>75</v>
      </c>
      <c r="I1349" t="s">
        <v>76</v>
      </c>
      <c r="J1349" t="s">
        <v>77</v>
      </c>
      <c r="K1349" t="s">
        <v>78</v>
      </c>
      <c r="L1349" t="s">
        <v>141</v>
      </c>
      <c r="M1349" t="s">
        <v>142</v>
      </c>
      <c r="N1349" t="s">
        <v>2048</v>
      </c>
      <c r="O1349" t="s">
        <v>89</v>
      </c>
      <c r="P1349" t="str">
        <f>"4170072790                    "</f>
        <v xml:space="preserve">4170072790                    </v>
      </c>
      <c r="Q1349">
        <v>0</v>
      </c>
      <c r="R1349">
        <v>0</v>
      </c>
      <c r="S1349">
        <v>0</v>
      </c>
      <c r="T1349">
        <v>0</v>
      </c>
      <c r="U1349">
        <v>0</v>
      </c>
      <c r="V1349">
        <v>0</v>
      </c>
      <c r="W1349">
        <v>0</v>
      </c>
      <c r="X1349">
        <v>0</v>
      </c>
      <c r="Y1349">
        <v>0</v>
      </c>
      <c r="Z1349">
        <v>0</v>
      </c>
      <c r="AA1349">
        <v>0</v>
      </c>
      <c r="AB1349">
        <v>0</v>
      </c>
      <c r="AC1349">
        <v>0</v>
      </c>
      <c r="AD1349">
        <v>0</v>
      </c>
      <c r="AE1349">
        <v>0</v>
      </c>
      <c r="AF1349">
        <v>0</v>
      </c>
      <c r="AG1349">
        <v>0</v>
      </c>
      <c r="AH1349">
        <v>0</v>
      </c>
      <c r="AI1349">
        <v>0</v>
      </c>
      <c r="AJ1349">
        <v>0</v>
      </c>
      <c r="AK1349">
        <v>0</v>
      </c>
      <c r="AL1349">
        <v>0</v>
      </c>
      <c r="AM1349">
        <v>0</v>
      </c>
      <c r="AN1349">
        <v>0</v>
      </c>
      <c r="AO1349">
        <v>0</v>
      </c>
      <c r="AP1349">
        <v>0</v>
      </c>
      <c r="AQ1349">
        <v>25.52</v>
      </c>
      <c r="AR1349">
        <v>0</v>
      </c>
      <c r="AS1349">
        <v>0</v>
      </c>
      <c r="AT1349">
        <v>0</v>
      </c>
      <c r="AU1349">
        <v>0</v>
      </c>
      <c r="AV1349">
        <v>0</v>
      </c>
      <c r="AW1349">
        <v>0</v>
      </c>
      <c r="AX1349">
        <v>0</v>
      </c>
      <c r="AY1349">
        <v>0</v>
      </c>
      <c r="AZ1349">
        <v>0</v>
      </c>
      <c r="BA1349">
        <v>0</v>
      </c>
      <c r="BB1349">
        <v>0</v>
      </c>
      <c r="BC1349">
        <v>0</v>
      </c>
      <c r="BD1349">
        <v>0</v>
      </c>
      <c r="BE1349">
        <v>0</v>
      </c>
      <c r="BF1349">
        <v>0</v>
      </c>
      <c r="BG1349">
        <v>0</v>
      </c>
      <c r="BH1349">
        <v>1</v>
      </c>
      <c r="BI1349">
        <v>1</v>
      </c>
      <c r="BJ1349">
        <v>0.2</v>
      </c>
      <c r="BK1349">
        <v>1</v>
      </c>
      <c r="BL1349">
        <v>76.06</v>
      </c>
      <c r="BM1349">
        <v>11.41</v>
      </c>
      <c r="BN1349">
        <v>87.47</v>
      </c>
      <c r="BO1349">
        <v>87.47</v>
      </c>
      <c r="BQ1349" t="s">
        <v>2049</v>
      </c>
      <c r="BR1349" t="s">
        <v>82</v>
      </c>
      <c r="BS1349" s="3">
        <v>46002</v>
      </c>
      <c r="BT1349" s="4">
        <v>0.43680555555555556</v>
      </c>
      <c r="BU1349" t="s">
        <v>2050</v>
      </c>
      <c r="BV1349" t="s">
        <v>84</v>
      </c>
      <c r="BY1349">
        <v>1200</v>
      </c>
      <c r="CA1349" t="s">
        <v>1228</v>
      </c>
      <c r="CC1349" t="s">
        <v>142</v>
      </c>
      <c r="CD1349">
        <v>6000</v>
      </c>
      <c r="CE1349" t="s">
        <v>134</v>
      </c>
      <c r="CF1349" s="3">
        <v>46002</v>
      </c>
      <c r="CI1349">
        <v>1</v>
      </c>
      <c r="CJ1349">
        <v>1</v>
      </c>
      <c r="CK1349">
        <v>21</v>
      </c>
      <c r="CL1349" t="s">
        <v>87</v>
      </c>
    </row>
    <row r="1350" spans="1:90" x14ac:dyDescent="0.3">
      <c r="A1350" t="s">
        <v>72</v>
      </c>
      <c r="B1350" t="s">
        <v>73</v>
      </c>
      <c r="C1350" t="s">
        <v>74</v>
      </c>
      <c r="E1350" t="str">
        <f>"080069816595"</f>
        <v>080069816595</v>
      </c>
      <c r="F1350" s="3">
        <v>46001</v>
      </c>
      <c r="G1350">
        <v>202609</v>
      </c>
      <c r="H1350" t="s">
        <v>75</v>
      </c>
      <c r="I1350" t="s">
        <v>76</v>
      </c>
      <c r="J1350" t="s">
        <v>77</v>
      </c>
      <c r="K1350" t="s">
        <v>78</v>
      </c>
      <c r="L1350" t="s">
        <v>265</v>
      </c>
      <c r="M1350" t="s">
        <v>266</v>
      </c>
      <c r="N1350" t="s">
        <v>1146</v>
      </c>
      <c r="O1350" t="s">
        <v>89</v>
      </c>
      <c r="P1350" t="str">
        <f>"4170072782                    "</f>
        <v xml:space="preserve">4170072782                    </v>
      </c>
      <c r="Q1350">
        <v>0</v>
      </c>
      <c r="R1350">
        <v>0</v>
      </c>
      <c r="S1350">
        <v>0</v>
      </c>
      <c r="T1350">
        <v>0</v>
      </c>
      <c r="U1350">
        <v>0</v>
      </c>
      <c r="V1350">
        <v>0</v>
      </c>
      <c r="W1350">
        <v>0</v>
      </c>
      <c r="X1350">
        <v>0</v>
      </c>
      <c r="Y1350">
        <v>0</v>
      </c>
      <c r="Z1350">
        <v>0</v>
      </c>
      <c r="AA1350">
        <v>0</v>
      </c>
      <c r="AB1350">
        <v>0</v>
      </c>
      <c r="AC1350">
        <v>0</v>
      </c>
      <c r="AD1350">
        <v>0</v>
      </c>
      <c r="AE1350">
        <v>0</v>
      </c>
      <c r="AF1350">
        <v>0</v>
      </c>
      <c r="AG1350">
        <v>0</v>
      </c>
      <c r="AH1350">
        <v>0</v>
      </c>
      <c r="AI1350">
        <v>0</v>
      </c>
      <c r="AJ1350">
        <v>0</v>
      </c>
      <c r="AK1350">
        <v>0</v>
      </c>
      <c r="AL1350">
        <v>0</v>
      </c>
      <c r="AM1350">
        <v>0</v>
      </c>
      <c r="AN1350">
        <v>0</v>
      </c>
      <c r="AO1350">
        <v>0</v>
      </c>
      <c r="AP1350">
        <v>0</v>
      </c>
      <c r="AQ1350">
        <v>19.940000000000001</v>
      </c>
      <c r="AR1350">
        <v>0</v>
      </c>
      <c r="AS1350">
        <v>0</v>
      </c>
      <c r="AT1350">
        <v>0</v>
      </c>
      <c r="AU1350">
        <v>0</v>
      </c>
      <c r="AV1350">
        <v>0</v>
      </c>
      <c r="AW1350">
        <v>0</v>
      </c>
      <c r="AX1350">
        <v>0</v>
      </c>
      <c r="AY1350">
        <v>0</v>
      </c>
      <c r="AZ1350">
        <v>0</v>
      </c>
      <c r="BA1350">
        <v>0</v>
      </c>
      <c r="BB1350">
        <v>0</v>
      </c>
      <c r="BC1350">
        <v>0</v>
      </c>
      <c r="BD1350">
        <v>0</v>
      </c>
      <c r="BE1350">
        <v>0</v>
      </c>
      <c r="BF1350">
        <v>0</v>
      </c>
      <c r="BG1350">
        <v>0</v>
      </c>
      <c r="BH1350">
        <v>1</v>
      </c>
      <c r="BI1350">
        <v>1</v>
      </c>
      <c r="BJ1350">
        <v>0.2</v>
      </c>
      <c r="BK1350">
        <v>1</v>
      </c>
      <c r="BL1350">
        <v>59.42</v>
      </c>
      <c r="BM1350">
        <v>8.91</v>
      </c>
      <c r="BN1350">
        <v>68.33</v>
      </c>
      <c r="BO1350">
        <v>68.33</v>
      </c>
      <c r="BQ1350" t="s">
        <v>1147</v>
      </c>
      <c r="BR1350" t="s">
        <v>82</v>
      </c>
      <c r="BS1350" s="3">
        <v>46002</v>
      </c>
      <c r="BT1350" s="4">
        <v>0.35416666666666669</v>
      </c>
      <c r="BU1350" t="s">
        <v>1195</v>
      </c>
      <c r="BV1350" t="s">
        <v>84</v>
      </c>
      <c r="BY1350">
        <v>1200</v>
      </c>
      <c r="CA1350" t="s">
        <v>417</v>
      </c>
      <c r="CC1350" t="s">
        <v>266</v>
      </c>
      <c r="CD1350">
        <v>1459</v>
      </c>
      <c r="CE1350" t="s">
        <v>134</v>
      </c>
      <c r="CF1350" s="3">
        <v>46003</v>
      </c>
      <c r="CI1350">
        <v>1</v>
      </c>
      <c r="CJ1350">
        <v>1</v>
      </c>
      <c r="CK1350">
        <v>22</v>
      </c>
      <c r="CL1350" t="s">
        <v>87</v>
      </c>
    </row>
    <row r="1351" spans="1:90" x14ac:dyDescent="0.3">
      <c r="A1351" t="s">
        <v>72</v>
      </c>
      <c r="B1351" t="s">
        <v>73</v>
      </c>
      <c r="C1351" t="s">
        <v>74</v>
      </c>
      <c r="E1351" t="str">
        <f>"080069816702"</f>
        <v>080069816702</v>
      </c>
      <c r="F1351" s="3">
        <v>46001</v>
      </c>
      <c r="G1351">
        <v>202609</v>
      </c>
      <c r="H1351" t="s">
        <v>75</v>
      </c>
      <c r="I1351" t="s">
        <v>76</v>
      </c>
      <c r="J1351" t="s">
        <v>77</v>
      </c>
      <c r="K1351" t="s">
        <v>78</v>
      </c>
      <c r="L1351" t="s">
        <v>156</v>
      </c>
      <c r="M1351" t="s">
        <v>157</v>
      </c>
      <c r="N1351" t="s">
        <v>443</v>
      </c>
      <c r="O1351" t="s">
        <v>89</v>
      </c>
      <c r="P1351" t="str">
        <f>"4170072765                    "</f>
        <v xml:space="preserve">4170072765                    </v>
      </c>
      <c r="Q1351">
        <v>0</v>
      </c>
      <c r="R1351">
        <v>0</v>
      </c>
      <c r="S1351">
        <v>0</v>
      </c>
      <c r="T1351">
        <v>0</v>
      </c>
      <c r="U1351">
        <v>0</v>
      </c>
      <c r="V1351">
        <v>0</v>
      </c>
      <c r="W1351">
        <v>0</v>
      </c>
      <c r="X1351">
        <v>0</v>
      </c>
      <c r="Y1351">
        <v>0</v>
      </c>
      <c r="Z1351">
        <v>0</v>
      </c>
      <c r="AA1351">
        <v>0</v>
      </c>
      <c r="AB1351">
        <v>0</v>
      </c>
      <c r="AC1351">
        <v>0</v>
      </c>
      <c r="AD1351">
        <v>0</v>
      </c>
      <c r="AE1351">
        <v>0</v>
      </c>
      <c r="AF1351">
        <v>0</v>
      </c>
      <c r="AG1351">
        <v>0</v>
      </c>
      <c r="AH1351">
        <v>0</v>
      </c>
      <c r="AI1351">
        <v>0</v>
      </c>
      <c r="AJ1351">
        <v>0</v>
      </c>
      <c r="AK1351">
        <v>0</v>
      </c>
      <c r="AL1351">
        <v>0</v>
      </c>
      <c r="AM1351">
        <v>0</v>
      </c>
      <c r="AN1351">
        <v>0</v>
      </c>
      <c r="AO1351">
        <v>0</v>
      </c>
      <c r="AP1351">
        <v>0</v>
      </c>
      <c r="AQ1351">
        <v>89.3</v>
      </c>
      <c r="AR1351">
        <v>0</v>
      </c>
      <c r="AS1351">
        <v>0</v>
      </c>
      <c r="AT1351">
        <v>0</v>
      </c>
      <c r="AU1351">
        <v>0</v>
      </c>
      <c r="AV1351">
        <v>0</v>
      </c>
      <c r="AW1351">
        <v>0</v>
      </c>
      <c r="AX1351">
        <v>0</v>
      </c>
      <c r="AY1351">
        <v>0</v>
      </c>
      <c r="AZ1351">
        <v>0</v>
      </c>
      <c r="BA1351">
        <v>0</v>
      </c>
      <c r="BB1351">
        <v>0</v>
      </c>
      <c r="BC1351">
        <v>0</v>
      </c>
      <c r="BD1351">
        <v>0</v>
      </c>
      <c r="BE1351">
        <v>0</v>
      </c>
      <c r="BF1351">
        <v>0</v>
      </c>
      <c r="BG1351">
        <v>0</v>
      </c>
      <c r="BH1351">
        <v>1</v>
      </c>
      <c r="BI1351">
        <v>6.5</v>
      </c>
      <c r="BJ1351">
        <v>6.9</v>
      </c>
      <c r="BK1351">
        <v>7</v>
      </c>
      <c r="BL1351">
        <v>266.14</v>
      </c>
      <c r="BM1351">
        <v>39.92</v>
      </c>
      <c r="BN1351">
        <v>306.06</v>
      </c>
      <c r="BO1351">
        <v>306.06</v>
      </c>
      <c r="BQ1351" t="s">
        <v>444</v>
      </c>
      <c r="BR1351" t="s">
        <v>82</v>
      </c>
      <c r="BS1351" s="3">
        <v>46002</v>
      </c>
      <c r="BT1351" s="4">
        <v>0.35625000000000001</v>
      </c>
      <c r="BU1351" t="s">
        <v>2051</v>
      </c>
      <c r="BV1351" t="s">
        <v>84</v>
      </c>
      <c r="BY1351">
        <v>34295.760000000002</v>
      </c>
      <c r="CA1351" t="s">
        <v>346</v>
      </c>
      <c r="CC1351" t="s">
        <v>157</v>
      </c>
      <c r="CD1351">
        <v>7530</v>
      </c>
      <c r="CE1351" t="s">
        <v>86</v>
      </c>
      <c r="CI1351">
        <v>1</v>
      </c>
      <c r="CJ1351">
        <v>1</v>
      </c>
      <c r="CK1351">
        <v>21</v>
      </c>
      <c r="CL1351" t="s">
        <v>87</v>
      </c>
    </row>
    <row r="1352" spans="1:90" x14ac:dyDescent="0.3">
      <c r="A1352" t="s">
        <v>72</v>
      </c>
      <c r="B1352" t="s">
        <v>73</v>
      </c>
      <c r="C1352" t="s">
        <v>74</v>
      </c>
      <c r="E1352" t="str">
        <f>"080069816716"</f>
        <v>080069816716</v>
      </c>
      <c r="F1352" s="3">
        <v>46001</v>
      </c>
      <c r="G1352">
        <v>202609</v>
      </c>
      <c r="H1352" t="s">
        <v>75</v>
      </c>
      <c r="I1352" t="s">
        <v>76</v>
      </c>
      <c r="J1352" t="s">
        <v>77</v>
      </c>
      <c r="K1352" t="s">
        <v>78</v>
      </c>
      <c r="L1352" t="s">
        <v>458</v>
      </c>
      <c r="M1352" t="s">
        <v>459</v>
      </c>
      <c r="N1352" t="s">
        <v>460</v>
      </c>
      <c r="O1352" t="s">
        <v>89</v>
      </c>
      <c r="P1352" t="str">
        <f>"4170072798                    "</f>
        <v xml:space="preserve">4170072798                    </v>
      </c>
      <c r="Q1352">
        <v>0</v>
      </c>
      <c r="R1352">
        <v>0</v>
      </c>
      <c r="S1352">
        <v>0</v>
      </c>
      <c r="T1352">
        <v>0</v>
      </c>
      <c r="U1352">
        <v>0</v>
      </c>
      <c r="V1352">
        <v>0</v>
      </c>
      <c r="W1352">
        <v>0</v>
      </c>
      <c r="X1352">
        <v>0</v>
      </c>
      <c r="Y1352">
        <v>0</v>
      </c>
      <c r="Z1352">
        <v>0</v>
      </c>
      <c r="AA1352">
        <v>0</v>
      </c>
      <c r="AB1352">
        <v>0</v>
      </c>
      <c r="AC1352">
        <v>0</v>
      </c>
      <c r="AD1352">
        <v>0</v>
      </c>
      <c r="AE1352">
        <v>0</v>
      </c>
      <c r="AF1352">
        <v>0</v>
      </c>
      <c r="AG1352">
        <v>0</v>
      </c>
      <c r="AH1352">
        <v>0</v>
      </c>
      <c r="AI1352">
        <v>0</v>
      </c>
      <c r="AJ1352">
        <v>0</v>
      </c>
      <c r="AK1352">
        <v>0</v>
      </c>
      <c r="AL1352">
        <v>0</v>
      </c>
      <c r="AM1352">
        <v>0</v>
      </c>
      <c r="AN1352">
        <v>0</v>
      </c>
      <c r="AO1352">
        <v>0</v>
      </c>
      <c r="AP1352">
        <v>0</v>
      </c>
      <c r="AQ1352">
        <v>82.95</v>
      </c>
      <c r="AR1352">
        <v>0</v>
      </c>
      <c r="AS1352">
        <v>0</v>
      </c>
      <c r="AT1352">
        <v>0</v>
      </c>
      <c r="AU1352">
        <v>0</v>
      </c>
      <c r="AV1352">
        <v>0</v>
      </c>
      <c r="AW1352">
        <v>0</v>
      </c>
      <c r="AX1352">
        <v>0</v>
      </c>
      <c r="AY1352">
        <v>0</v>
      </c>
      <c r="AZ1352">
        <v>0</v>
      </c>
      <c r="BA1352">
        <v>0</v>
      </c>
      <c r="BB1352">
        <v>0</v>
      </c>
      <c r="BC1352">
        <v>0</v>
      </c>
      <c r="BD1352">
        <v>0</v>
      </c>
      <c r="BE1352">
        <v>0</v>
      </c>
      <c r="BF1352">
        <v>0</v>
      </c>
      <c r="BG1352">
        <v>0</v>
      </c>
      <c r="BH1352">
        <v>1</v>
      </c>
      <c r="BI1352">
        <v>3.1</v>
      </c>
      <c r="BJ1352">
        <v>1.6</v>
      </c>
      <c r="BK1352">
        <v>3.5</v>
      </c>
      <c r="BL1352">
        <v>247.21</v>
      </c>
      <c r="BM1352">
        <v>37.08</v>
      </c>
      <c r="BN1352">
        <v>284.29000000000002</v>
      </c>
      <c r="BO1352">
        <v>284.29000000000002</v>
      </c>
      <c r="BQ1352" t="s">
        <v>461</v>
      </c>
      <c r="BR1352" t="s">
        <v>82</v>
      </c>
      <c r="BS1352" s="3">
        <v>46002</v>
      </c>
      <c r="BT1352" s="4">
        <v>0.51875000000000004</v>
      </c>
      <c r="BU1352" t="s">
        <v>462</v>
      </c>
      <c r="BV1352" t="s">
        <v>84</v>
      </c>
      <c r="BY1352">
        <v>7903.2</v>
      </c>
      <c r="CA1352" t="s">
        <v>463</v>
      </c>
      <c r="CC1352" t="s">
        <v>459</v>
      </c>
      <c r="CD1352">
        <v>7130</v>
      </c>
      <c r="CE1352" t="s">
        <v>86</v>
      </c>
      <c r="CI1352">
        <v>1</v>
      </c>
      <c r="CJ1352">
        <v>1</v>
      </c>
      <c r="CK1352">
        <v>23</v>
      </c>
      <c r="CL1352" t="s">
        <v>87</v>
      </c>
    </row>
    <row r="1353" spans="1:90" x14ac:dyDescent="0.3">
      <c r="A1353" t="s">
        <v>72</v>
      </c>
      <c r="B1353" t="s">
        <v>73</v>
      </c>
      <c r="C1353" t="s">
        <v>74</v>
      </c>
      <c r="E1353" t="str">
        <f>"080069817049"</f>
        <v>080069817049</v>
      </c>
      <c r="F1353" s="3">
        <v>46001</v>
      </c>
      <c r="G1353">
        <v>202609</v>
      </c>
      <c r="H1353" t="s">
        <v>75</v>
      </c>
      <c r="I1353" t="s">
        <v>76</v>
      </c>
      <c r="J1353" t="s">
        <v>77</v>
      </c>
      <c r="K1353" t="s">
        <v>78</v>
      </c>
      <c r="L1353" t="s">
        <v>202</v>
      </c>
      <c r="M1353" t="s">
        <v>203</v>
      </c>
      <c r="N1353" t="s">
        <v>204</v>
      </c>
      <c r="O1353" t="s">
        <v>89</v>
      </c>
      <c r="P1353" t="str">
        <f>"4170072793                    "</f>
        <v xml:space="preserve">4170072793                    </v>
      </c>
      <c r="Q1353">
        <v>0</v>
      </c>
      <c r="R1353">
        <v>0</v>
      </c>
      <c r="S1353">
        <v>0</v>
      </c>
      <c r="T1353">
        <v>0</v>
      </c>
      <c r="U1353">
        <v>0</v>
      </c>
      <c r="V1353">
        <v>0</v>
      </c>
      <c r="W1353">
        <v>0</v>
      </c>
      <c r="X1353">
        <v>0</v>
      </c>
      <c r="Y1353">
        <v>0</v>
      </c>
      <c r="Z1353">
        <v>0</v>
      </c>
      <c r="AA1353">
        <v>0</v>
      </c>
      <c r="AB1353">
        <v>0</v>
      </c>
      <c r="AC1353">
        <v>0</v>
      </c>
      <c r="AD1353">
        <v>0</v>
      </c>
      <c r="AE1353">
        <v>0</v>
      </c>
      <c r="AF1353">
        <v>0</v>
      </c>
      <c r="AG1353">
        <v>0</v>
      </c>
      <c r="AH1353">
        <v>0</v>
      </c>
      <c r="AI1353">
        <v>0</v>
      </c>
      <c r="AJ1353">
        <v>0</v>
      </c>
      <c r="AK1353">
        <v>0</v>
      </c>
      <c r="AL1353">
        <v>0</v>
      </c>
      <c r="AM1353">
        <v>0</v>
      </c>
      <c r="AN1353">
        <v>0</v>
      </c>
      <c r="AO1353">
        <v>0</v>
      </c>
      <c r="AP1353">
        <v>0</v>
      </c>
      <c r="AQ1353">
        <v>261.60000000000002</v>
      </c>
      <c r="AR1353">
        <v>0</v>
      </c>
      <c r="AS1353">
        <v>0</v>
      </c>
      <c r="AT1353">
        <v>0</v>
      </c>
      <c r="AU1353">
        <v>0</v>
      </c>
      <c r="AV1353">
        <v>0</v>
      </c>
      <c r="AW1353">
        <v>0</v>
      </c>
      <c r="AX1353">
        <v>0</v>
      </c>
      <c r="AY1353">
        <v>0</v>
      </c>
      <c r="AZ1353">
        <v>0</v>
      </c>
      <c r="BA1353">
        <v>0</v>
      </c>
      <c r="BB1353">
        <v>0</v>
      </c>
      <c r="BC1353">
        <v>0</v>
      </c>
      <c r="BD1353">
        <v>0</v>
      </c>
      <c r="BE1353">
        <v>0</v>
      </c>
      <c r="BF1353">
        <v>0</v>
      </c>
      <c r="BG1353">
        <v>0</v>
      </c>
      <c r="BH1353">
        <v>1</v>
      </c>
      <c r="BI1353">
        <v>11.3</v>
      </c>
      <c r="BJ1353">
        <v>7</v>
      </c>
      <c r="BK1353">
        <v>11.5</v>
      </c>
      <c r="BL1353">
        <v>779.62</v>
      </c>
      <c r="BM1353">
        <v>116.94</v>
      </c>
      <c r="BN1353">
        <v>896.56</v>
      </c>
      <c r="BO1353">
        <v>896.56</v>
      </c>
      <c r="BQ1353" t="s">
        <v>205</v>
      </c>
      <c r="BR1353" t="s">
        <v>82</v>
      </c>
      <c r="BS1353" s="3">
        <v>46002</v>
      </c>
      <c r="BT1353" s="4">
        <v>0.41249999999999998</v>
      </c>
      <c r="BU1353" t="s">
        <v>2052</v>
      </c>
      <c r="BV1353" t="s">
        <v>84</v>
      </c>
      <c r="BY1353">
        <v>34965.81</v>
      </c>
      <c r="CA1353">
        <v>7908245451080</v>
      </c>
      <c r="CC1353" t="s">
        <v>203</v>
      </c>
      <c r="CD1353">
        <v>2531</v>
      </c>
      <c r="CE1353" t="s">
        <v>86</v>
      </c>
      <c r="CI1353">
        <v>1</v>
      </c>
      <c r="CJ1353">
        <v>1</v>
      </c>
      <c r="CK1353">
        <v>23</v>
      </c>
      <c r="CL1353" t="s">
        <v>87</v>
      </c>
    </row>
    <row r="1354" spans="1:90" x14ac:dyDescent="0.3">
      <c r="A1354" t="s">
        <v>72</v>
      </c>
      <c r="B1354" t="s">
        <v>73</v>
      </c>
      <c r="C1354" t="s">
        <v>74</v>
      </c>
      <c r="E1354" t="str">
        <f>"080069817068"</f>
        <v>080069817068</v>
      </c>
      <c r="F1354" s="3">
        <v>46001</v>
      </c>
      <c r="G1354">
        <v>202609</v>
      </c>
      <c r="H1354" t="s">
        <v>75</v>
      </c>
      <c r="I1354" t="s">
        <v>76</v>
      </c>
      <c r="J1354" t="s">
        <v>77</v>
      </c>
      <c r="K1354" t="s">
        <v>78</v>
      </c>
      <c r="L1354" t="s">
        <v>94</v>
      </c>
      <c r="M1354" t="s">
        <v>95</v>
      </c>
      <c r="N1354" t="s">
        <v>540</v>
      </c>
      <c r="O1354" t="s">
        <v>89</v>
      </c>
      <c r="P1354" t="str">
        <f>"4170072740                    "</f>
        <v xml:space="preserve">4170072740                    </v>
      </c>
      <c r="Q1354">
        <v>0</v>
      </c>
      <c r="R1354">
        <v>0</v>
      </c>
      <c r="S1354">
        <v>0</v>
      </c>
      <c r="T1354">
        <v>0</v>
      </c>
      <c r="U1354">
        <v>0</v>
      </c>
      <c r="V1354">
        <v>0</v>
      </c>
      <c r="W1354">
        <v>0</v>
      </c>
      <c r="X1354">
        <v>0</v>
      </c>
      <c r="Y1354">
        <v>0</v>
      </c>
      <c r="Z1354">
        <v>0</v>
      </c>
      <c r="AA1354">
        <v>0</v>
      </c>
      <c r="AB1354">
        <v>0</v>
      </c>
      <c r="AC1354">
        <v>0</v>
      </c>
      <c r="AD1354">
        <v>0</v>
      </c>
      <c r="AE1354">
        <v>0</v>
      </c>
      <c r="AF1354">
        <v>0</v>
      </c>
      <c r="AG1354">
        <v>0</v>
      </c>
      <c r="AH1354">
        <v>0</v>
      </c>
      <c r="AI1354">
        <v>0</v>
      </c>
      <c r="AJ1354">
        <v>0</v>
      </c>
      <c r="AK1354">
        <v>0</v>
      </c>
      <c r="AL1354">
        <v>0</v>
      </c>
      <c r="AM1354">
        <v>0</v>
      </c>
      <c r="AN1354">
        <v>0</v>
      </c>
      <c r="AO1354">
        <v>0</v>
      </c>
      <c r="AP1354">
        <v>0</v>
      </c>
      <c r="AQ1354">
        <v>82.93</v>
      </c>
      <c r="AR1354">
        <v>0</v>
      </c>
      <c r="AS1354">
        <v>0</v>
      </c>
      <c r="AT1354">
        <v>0</v>
      </c>
      <c r="AU1354">
        <v>0</v>
      </c>
      <c r="AV1354">
        <v>0</v>
      </c>
      <c r="AW1354">
        <v>0</v>
      </c>
      <c r="AX1354">
        <v>0</v>
      </c>
      <c r="AY1354">
        <v>0</v>
      </c>
      <c r="AZ1354">
        <v>0</v>
      </c>
      <c r="BA1354">
        <v>0</v>
      </c>
      <c r="BB1354">
        <v>0</v>
      </c>
      <c r="BC1354">
        <v>0</v>
      </c>
      <c r="BD1354">
        <v>0</v>
      </c>
      <c r="BE1354">
        <v>0</v>
      </c>
      <c r="BF1354">
        <v>0</v>
      </c>
      <c r="BG1354">
        <v>0</v>
      </c>
      <c r="BH1354">
        <v>1</v>
      </c>
      <c r="BI1354">
        <v>5.6</v>
      </c>
      <c r="BJ1354">
        <v>6.4</v>
      </c>
      <c r="BK1354">
        <v>6.5</v>
      </c>
      <c r="BL1354">
        <v>247.14</v>
      </c>
      <c r="BM1354">
        <v>37.07</v>
      </c>
      <c r="BN1354">
        <v>284.20999999999998</v>
      </c>
      <c r="BO1354">
        <v>284.20999999999998</v>
      </c>
      <c r="BQ1354" t="s">
        <v>541</v>
      </c>
      <c r="BR1354" t="s">
        <v>82</v>
      </c>
      <c r="BS1354" s="3">
        <v>46002</v>
      </c>
      <c r="BT1354" s="4">
        <v>0.38680555555555557</v>
      </c>
      <c r="BU1354" t="s">
        <v>542</v>
      </c>
      <c r="BV1354" t="s">
        <v>84</v>
      </c>
      <c r="BY1354">
        <v>31984.68</v>
      </c>
      <c r="CA1354" t="s">
        <v>99</v>
      </c>
      <c r="CC1354" t="s">
        <v>95</v>
      </c>
      <c r="CD1354">
        <v>3610</v>
      </c>
      <c r="CE1354" t="s">
        <v>86</v>
      </c>
      <c r="CF1354" s="3">
        <v>46002</v>
      </c>
      <c r="CI1354">
        <v>1</v>
      </c>
      <c r="CJ1354">
        <v>1</v>
      </c>
      <c r="CK1354">
        <v>21</v>
      </c>
      <c r="CL1354" t="s">
        <v>87</v>
      </c>
    </row>
    <row r="1355" spans="1:90" x14ac:dyDescent="0.3">
      <c r="A1355" t="s">
        <v>72</v>
      </c>
      <c r="B1355" t="s">
        <v>73</v>
      </c>
      <c r="C1355" t="s">
        <v>74</v>
      </c>
      <c r="E1355" t="str">
        <f>"080069817449"</f>
        <v>080069817449</v>
      </c>
      <c r="F1355" s="3">
        <v>46001</v>
      </c>
      <c r="G1355">
        <v>202609</v>
      </c>
      <c r="H1355" t="s">
        <v>75</v>
      </c>
      <c r="I1355" t="s">
        <v>76</v>
      </c>
      <c r="J1355" t="s">
        <v>77</v>
      </c>
      <c r="K1355" t="s">
        <v>78</v>
      </c>
      <c r="L1355" t="s">
        <v>176</v>
      </c>
      <c r="M1355" t="s">
        <v>177</v>
      </c>
      <c r="N1355" t="s">
        <v>877</v>
      </c>
      <c r="O1355" t="s">
        <v>89</v>
      </c>
      <c r="P1355" t="str">
        <f>"4170072824                    "</f>
        <v xml:space="preserve">4170072824                    </v>
      </c>
      <c r="Q1355">
        <v>0</v>
      </c>
      <c r="R1355">
        <v>0</v>
      </c>
      <c r="S1355">
        <v>0</v>
      </c>
      <c r="T1355">
        <v>0</v>
      </c>
      <c r="U1355">
        <v>0</v>
      </c>
      <c r="V1355">
        <v>0</v>
      </c>
      <c r="W1355">
        <v>0</v>
      </c>
      <c r="X1355">
        <v>0</v>
      </c>
      <c r="Y1355">
        <v>0</v>
      </c>
      <c r="Z1355">
        <v>0</v>
      </c>
      <c r="AA1355">
        <v>0</v>
      </c>
      <c r="AB1355">
        <v>0</v>
      </c>
      <c r="AC1355">
        <v>0</v>
      </c>
      <c r="AD1355">
        <v>0</v>
      </c>
      <c r="AE1355">
        <v>0</v>
      </c>
      <c r="AF1355">
        <v>0</v>
      </c>
      <c r="AG1355">
        <v>0</v>
      </c>
      <c r="AH1355">
        <v>0</v>
      </c>
      <c r="AI1355">
        <v>0</v>
      </c>
      <c r="AJ1355">
        <v>0</v>
      </c>
      <c r="AK1355">
        <v>0</v>
      </c>
      <c r="AL1355">
        <v>0</v>
      </c>
      <c r="AM1355">
        <v>0</v>
      </c>
      <c r="AN1355">
        <v>0</v>
      </c>
      <c r="AO1355">
        <v>0</v>
      </c>
      <c r="AP1355">
        <v>0</v>
      </c>
      <c r="AQ1355">
        <v>19.940000000000001</v>
      </c>
      <c r="AR1355">
        <v>0</v>
      </c>
      <c r="AS1355">
        <v>0</v>
      </c>
      <c r="AT1355">
        <v>0</v>
      </c>
      <c r="AU1355">
        <v>0</v>
      </c>
      <c r="AV1355">
        <v>0</v>
      </c>
      <c r="AW1355">
        <v>0</v>
      </c>
      <c r="AX1355">
        <v>0</v>
      </c>
      <c r="AY1355">
        <v>0</v>
      </c>
      <c r="AZ1355">
        <v>0</v>
      </c>
      <c r="BA1355">
        <v>0</v>
      </c>
      <c r="BB1355">
        <v>0</v>
      </c>
      <c r="BC1355">
        <v>0</v>
      </c>
      <c r="BD1355">
        <v>0</v>
      </c>
      <c r="BE1355">
        <v>0</v>
      </c>
      <c r="BF1355">
        <v>0</v>
      </c>
      <c r="BG1355">
        <v>0</v>
      </c>
      <c r="BH1355">
        <v>1</v>
      </c>
      <c r="BI1355">
        <v>1</v>
      </c>
      <c r="BJ1355">
        <v>0.2</v>
      </c>
      <c r="BK1355">
        <v>1</v>
      </c>
      <c r="BL1355">
        <v>59.42</v>
      </c>
      <c r="BM1355">
        <v>8.91</v>
      </c>
      <c r="BN1355">
        <v>68.33</v>
      </c>
      <c r="BO1355">
        <v>68.33</v>
      </c>
      <c r="BQ1355" t="s">
        <v>878</v>
      </c>
      <c r="BR1355" t="s">
        <v>82</v>
      </c>
      <c r="BS1355" s="3">
        <v>46002</v>
      </c>
      <c r="BT1355" s="4">
        <v>0.34722222222222221</v>
      </c>
      <c r="BU1355" t="s">
        <v>1114</v>
      </c>
      <c r="BV1355" t="s">
        <v>84</v>
      </c>
      <c r="BY1355">
        <v>1200</v>
      </c>
      <c r="CA1355" t="s">
        <v>409</v>
      </c>
      <c r="CC1355" t="s">
        <v>177</v>
      </c>
      <c r="CD1355">
        <v>2013</v>
      </c>
      <c r="CE1355" t="s">
        <v>134</v>
      </c>
      <c r="CF1355" s="3">
        <v>46003</v>
      </c>
      <c r="CI1355">
        <v>1</v>
      </c>
      <c r="CJ1355">
        <v>1</v>
      </c>
      <c r="CK1355">
        <v>22</v>
      </c>
      <c r="CL1355" t="s">
        <v>87</v>
      </c>
    </row>
    <row r="1356" spans="1:90" x14ac:dyDescent="0.3">
      <c r="A1356" t="s">
        <v>72</v>
      </c>
      <c r="B1356" t="s">
        <v>73</v>
      </c>
      <c r="C1356" t="s">
        <v>74</v>
      </c>
      <c r="E1356" t="str">
        <f>"080069817569"</f>
        <v>080069817569</v>
      </c>
      <c r="F1356" s="3">
        <v>46001</v>
      </c>
      <c r="G1356">
        <v>202609</v>
      </c>
      <c r="H1356" t="s">
        <v>75</v>
      </c>
      <c r="I1356" t="s">
        <v>76</v>
      </c>
      <c r="J1356" t="s">
        <v>77</v>
      </c>
      <c r="K1356" t="s">
        <v>78</v>
      </c>
      <c r="L1356" t="s">
        <v>265</v>
      </c>
      <c r="M1356" t="s">
        <v>266</v>
      </c>
      <c r="N1356" t="s">
        <v>414</v>
      </c>
      <c r="O1356" t="s">
        <v>89</v>
      </c>
      <c r="P1356" t="str">
        <f>"4170072813                    "</f>
        <v xml:space="preserve">4170072813                    </v>
      </c>
      <c r="Q1356">
        <v>0</v>
      </c>
      <c r="R1356">
        <v>0</v>
      </c>
      <c r="S1356">
        <v>0</v>
      </c>
      <c r="T1356">
        <v>0</v>
      </c>
      <c r="U1356">
        <v>0</v>
      </c>
      <c r="V1356">
        <v>0</v>
      </c>
      <c r="W1356">
        <v>0</v>
      </c>
      <c r="X1356">
        <v>0</v>
      </c>
      <c r="Y1356">
        <v>0</v>
      </c>
      <c r="Z1356">
        <v>0</v>
      </c>
      <c r="AA1356">
        <v>0</v>
      </c>
      <c r="AB1356">
        <v>0</v>
      </c>
      <c r="AC1356">
        <v>0</v>
      </c>
      <c r="AD1356">
        <v>0</v>
      </c>
      <c r="AE1356">
        <v>0</v>
      </c>
      <c r="AF1356">
        <v>0</v>
      </c>
      <c r="AG1356">
        <v>0</v>
      </c>
      <c r="AH1356">
        <v>0</v>
      </c>
      <c r="AI1356">
        <v>0</v>
      </c>
      <c r="AJ1356">
        <v>0</v>
      </c>
      <c r="AK1356">
        <v>0</v>
      </c>
      <c r="AL1356">
        <v>0</v>
      </c>
      <c r="AM1356">
        <v>0</v>
      </c>
      <c r="AN1356">
        <v>0</v>
      </c>
      <c r="AO1356">
        <v>0</v>
      </c>
      <c r="AP1356">
        <v>0</v>
      </c>
      <c r="AQ1356">
        <v>19.940000000000001</v>
      </c>
      <c r="AR1356">
        <v>0</v>
      </c>
      <c r="AS1356">
        <v>0</v>
      </c>
      <c r="AT1356">
        <v>0</v>
      </c>
      <c r="AU1356">
        <v>0</v>
      </c>
      <c r="AV1356">
        <v>0</v>
      </c>
      <c r="AW1356">
        <v>0</v>
      </c>
      <c r="AX1356">
        <v>0</v>
      </c>
      <c r="AY1356">
        <v>0</v>
      </c>
      <c r="AZ1356">
        <v>0</v>
      </c>
      <c r="BA1356">
        <v>0</v>
      </c>
      <c r="BB1356">
        <v>0</v>
      </c>
      <c r="BC1356">
        <v>0</v>
      </c>
      <c r="BD1356">
        <v>0</v>
      </c>
      <c r="BE1356">
        <v>0</v>
      </c>
      <c r="BF1356">
        <v>0</v>
      </c>
      <c r="BG1356">
        <v>0</v>
      </c>
      <c r="BH1356">
        <v>1</v>
      </c>
      <c r="BI1356">
        <v>1</v>
      </c>
      <c r="BJ1356">
        <v>0.2</v>
      </c>
      <c r="BK1356">
        <v>1</v>
      </c>
      <c r="BL1356">
        <v>59.42</v>
      </c>
      <c r="BM1356">
        <v>8.91</v>
      </c>
      <c r="BN1356">
        <v>68.33</v>
      </c>
      <c r="BO1356">
        <v>68.33</v>
      </c>
      <c r="BQ1356" t="s">
        <v>415</v>
      </c>
      <c r="BR1356" t="s">
        <v>82</v>
      </c>
      <c r="BS1356" s="3">
        <v>46002</v>
      </c>
      <c r="BT1356" s="4">
        <v>0.34722222222222221</v>
      </c>
      <c r="BU1356" t="s">
        <v>876</v>
      </c>
      <c r="BV1356" t="s">
        <v>84</v>
      </c>
      <c r="BY1356">
        <v>1200</v>
      </c>
      <c r="CA1356" t="s">
        <v>417</v>
      </c>
      <c r="CC1356" t="s">
        <v>266</v>
      </c>
      <c r="CD1356">
        <v>1459</v>
      </c>
      <c r="CE1356" t="s">
        <v>134</v>
      </c>
      <c r="CF1356" s="3">
        <v>46003</v>
      </c>
      <c r="CI1356">
        <v>1</v>
      </c>
      <c r="CJ1356">
        <v>1</v>
      </c>
      <c r="CK1356">
        <v>22</v>
      </c>
      <c r="CL1356" t="s">
        <v>87</v>
      </c>
    </row>
    <row r="1357" spans="1:90" x14ac:dyDescent="0.3">
      <c r="A1357" t="s">
        <v>72</v>
      </c>
      <c r="B1357" t="s">
        <v>73</v>
      </c>
      <c r="C1357" t="s">
        <v>74</v>
      </c>
      <c r="E1357" t="str">
        <f>"080069817605"</f>
        <v>080069817605</v>
      </c>
      <c r="F1357" s="3">
        <v>46001</v>
      </c>
      <c r="G1357">
        <v>202609</v>
      </c>
      <c r="H1357" t="s">
        <v>75</v>
      </c>
      <c r="I1357" t="s">
        <v>76</v>
      </c>
      <c r="J1357" t="s">
        <v>77</v>
      </c>
      <c r="K1357" t="s">
        <v>78</v>
      </c>
      <c r="L1357" t="s">
        <v>612</v>
      </c>
      <c r="M1357" t="s">
        <v>613</v>
      </c>
      <c r="N1357" t="s">
        <v>614</v>
      </c>
      <c r="O1357" t="s">
        <v>89</v>
      </c>
      <c r="P1357" t="str">
        <f>"4170072835                    "</f>
        <v xml:space="preserve">4170072835                    </v>
      </c>
      <c r="Q1357">
        <v>0</v>
      </c>
      <c r="R1357">
        <v>0</v>
      </c>
      <c r="S1357">
        <v>0</v>
      </c>
      <c r="T1357">
        <v>0</v>
      </c>
      <c r="U1357">
        <v>0</v>
      </c>
      <c r="V1357">
        <v>0</v>
      </c>
      <c r="W1357">
        <v>0</v>
      </c>
      <c r="X1357">
        <v>0</v>
      </c>
      <c r="Y1357">
        <v>0</v>
      </c>
      <c r="Z1357">
        <v>0</v>
      </c>
      <c r="AA1357">
        <v>0</v>
      </c>
      <c r="AB1357">
        <v>0</v>
      </c>
      <c r="AC1357">
        <v>0</v>
      </c>
      <c r="AD1357">
        <v>0</v>
      </c>
      <c r="AE1357">
        <v>0</v>
      </c>
      <c r="AF1357">
        <v>0</v>
      </c>
      <c r="AG1357">
        <v>0</v>
      </c>
      <c r="AH1357">
        <v>0</v>
      </c>
      <c r="AI1357">
        <v>0</v>
      </c>
      <c r="AJ1357">
        <v>0</v>
      </c>
      <c r="AK1357">
        <v>0</v>
      </c>
      <c r="AL1357">
        <v>0</v>
      </c>
      <c r="AM1357">
        <v>0</v>
      </c>
      <c r="AN1357">
        <v>0</v>
      </c>
      <c r="AO1357">
        <v>0</v>
      </c>
      <c r="AP1357">
        <v>0</v>
      </c>
      <c r="AQ1357">
        <v>49.45</v>
      </c>
      <c r="AR1357">
        <v>0</v>
      </c>
      <c r="AS1357">
        <v>0</v>
      </c>
      <c r="AT1357">
        <v>0</v>
      </c>
      <c r="AU1357">
        <v>0</v>
      </c>
      <c r="AV1357">
        <v>0</v>
      </c>
      <c r="AW1357">
        <v>0</v>
      </c>
      <c r="AX1357">
        <v>0</v>
      </c>
      <c r="AY1357">
        <v>0</v>
      </c>
      <c r="AZ1357">
        <v>0</v>
      </c>
      <c r="BA1357">
        <v>0</v>
      </c>
      <c r="BB1357">
        <v>0</v>
      </c>
      <c r="BC1357">
        <v>0</v>
      </c>
      <c r="BD1357">
        <v>0</v>
      </c>
      <c r="BE1357">
        <v>0</v>
      </c>
      <c r="BF1357">
        <v>0</v>
      </c>
      <c r="BG1357">
        <v>0</v>
      </c>
      <c r="BH1357">
        <v>1</v>
      </c>
      <c r="BI1357">
        <v>0.2</v>
      </c>
      <c r="BJ1357">
        <v>1.4</v>
      </c>
      <c r="BK1357">
        <v>1.5</v>
      </c>
      <c r="BL1357">
        <v>147.38</v>
      </c>
      <c r="BM1357">
        <v>22.11</v>
      </c>
      <c r="BN1357">
        <v>169.49</v>
      </c>
      <c r="BO1357">
        <v>169.49</v>
      </c>
      <c r="BQ1357" t="s">
        <v>615</v>
      </c>
      <c r="BR1357" t="s">
        <v>82</v>
      </c>
      <c r="BS1357" s="3">
        <v>46002</v>
      </c>
      <c r="BT1357" s="4">
        <v>0.58125000000000004</v>
      </c>
      <c r="BU1357" t="s">
        <v>2053</v>
      </c>
      <c r="BV1357" t="s">
        <v>84</v>
      </c>
      <c r="BY1357">
        <v>6814.5</v>
      </c>
      <c r="CA1357" t="s">
        <v>1671</v>
      </c>
      <c r="CC1357" t="s">
        <v>613</v>
      </c>
      <c r="CD1357">
        <v>6850</v>
      </c>
      <c r="CE1357" t="s">
        <v>134</v>
      </c>
      <c r="CI1357">
        <v>2</v>
      </c>
      <c r="CJ1357">
        <v>1</v>
      </c>
      <c r="CK1357">
        <v>23</v>
      </c>
      <c r="CL1357" t="s">
        <v>87</v>
      </c>
    </row>
    <row r="1358" spans="1:90" x14ac:dyDescent="0.3">
      <c r="A1358" t="s">
        <v>72</v>
      </c>
      <c r="B1358" t="s">
        <v>73</v>
      </c>
      <c r="C1358" t="s">
        <v>74</v>
      </c>
      <c r="E1358" t="str">
        <f>"080069818116"</f>
        <v>080069818116</v>
      </c>
      <c r="F1358" s="3">
        <v>46001</v>
      </c>
      <c r="G1358">
        <v>202609</v>
      </c>
      <c r="H1358" t="s">
        <v>75</v>
      </c>
      <c r="I1358" t="s">
        <v>76</v>
      </c>
      <c r="J1358" t="s">
        <v>77</v>
      </c>
      <c r="K1358" t="s">
        <v>78</v>
      </c>
      <c r="L1358" t="s">
        <v>156</v>
      </c>
      <c r="M1358" t="s">
        <v>157</v>
      </c>
      <c r="N1358" t="s">
        <v>261</v>
      </c>
      <c r="O1358" t="s">
        <v>89</v>
      </c>
      <c r="P1358" t="str">
        <f>"4170072818                    "</f>
        <v xml:space="preserve">4170072818                    </v>
      </c>
      <c r="Q1358">
        <v>0</v>
      </c>
      <c r="R1358">
        <v>0</v>
      </c>
      <c r="S1358">
        <v>0</v>
      </c>
      <c r="T1358">
        <v>0</v>
      </c>
      <c r="U1358">
        <v>0</v>
      </c>
      <c r="V1358">
        <v>0</v>
      </c>
      <c r="W1358">
        <v>0</v>
      </c>
      <c r="X1358">
        <v>0</v>
      </c>
      <c r="Y1358">
        <v>0</v>
      </c>
      <c r="Z1358">
        <v>0</v>
      </c>
      <c r="AA1358">
        <v>0</v>
      </c>
      <c r="AB1358">
        <v>0</v>
      </c>
      <c r="AC1358">
        <v>0</v>
      </c>
      <c r="AD1358">
        <v>0</v>
      </c>
      <c r="AE1358">
        <v>0</v>
      </c>
      <c r="AF1358">
        <v>0</v>
      </c>
      <c r="AG1358">
        <v>0</v>
      </c>
      <c r="AH1358">
        <v>0</v>
      </c>
      <c r="AI1358">
        <v>0</v>
      </c>
      <c r="AJ1358">
        <v>0</v>
      </c>
      <c r="AK1358">
        <v>0</v>
      </c>
      <c r="AL1358">
        <v>0</v>
      </c>
      <c r="AM1358">
        <v>0</v>
      </c>
      <c r="AN1358">
        <v>0</v>
      </c>
      <c r="AO1358">
        <v>0</v>
      </c>
      <c r="AP1358">
        <v>0</v>
      </c>
      <c r="AQ1358">
        <v>31.9</v>
      </c>
      <c r="AR1358">
        <v>0</v>
      </c>
      <c r="AS1358">
        <v>0</v>
      </c>
      <c r="AT1358">
        <v>0</v>
      </c>
      <c r="AU1358">
        <v>0</v>
      </c>
      <c r="AV1358">
        <v>0</v>
      </c>
      <c r="AW1358">
        <v>0</v>
      </c>
      <c r="AX1358">
        <v>0</v>
      </c>
      <c r="AY1358">
        <v>0</v>
      </c>
      <c r="AZ1358">
        <v>0</v>
      </c>
      <c r="BA1358">
        <v>0</v>
      </c>
      <c r="BB1358">
        <v>0</v>
      </c>
      <c r="BC1358">
        <v>0</v>
      </c>
      <c r="BD1358">
        <v>0</v>
      </c>
      <c r="BE1358">
        <v>0</v>
      </c>
      <c r="BF1358">
        <v>0</v>
      </c>
      <c r="BG1358">
        <v>0</v>
      </c>
      <c r="BH1358">
        <v>1</v>
      </c>
      <c r="BI1358">
        <v>0.7</v>
      </c>
      <c r="BJ1358">
        <v>2.1</v>
      </c>
      <c r="BK1358">
        <v>2.5</v>
      </c>
      <c r="BL1358">
        <v>95.07</v>
      </c>
      <c r="BM1358">
        <v>14.26</v>
      </c>
      <c r="BN1358">
        <v>109.33</v>
      </c>
      <c r="BO1358">
        <v>109.33</v>
      </c>
      <c r="BQ1358" t="s">
        <v>262</v>
      </c>
      <c r="BR1358" t="s">
        <v>82</v>
      </c>
      <c r="BS1358" s="3">
        <v>46002</v>
      </c>
      <c r="BT1358" s="4">
        <v>0.41041666666666665</v>
      </c>
      <c r="BU1358" t="s">
        <v>1210</v>
      </c>
      <c r="BV1358" t="s">
        <v>84</v>
      </c>
      <c r="BY1358">
        <v>10362.879999999999</v>
      </c>
      <c r="CA1358" t="s">
        <v>264</v>
      </c>
      <c r="CC1358" t="s">
        <v>157</v>
      </c>
      <c r="CD1358">
        <v>7441</v>
      </c>
      <c r="CE1358" t="s">
        <v>134</v>
      </c>
      <c r="CF1358" s="3">
        <v>46003</v>
      </c>
      <c r="CI1358">
        <v>1</v>
      </c>
      <c r="CJ1358">
        <v>1</v>
      </c>
      <c r="CK1358">
        <v>21</v>
      </c>
      <c r="CL1358" t="s">
        <v>87</v>
      </c>
    </row>
    <row r="1359" spans="1:90" x14ac:dyDescent="0.3">
      <c r="A1359" t="s">
        <v>72</v>
      </c>
      <c r="B1359" t="s">
        <v>73</v>
      </c>
      <c r="C1359" t="s">
        <v>74</v>
      </c>
      <c r="E1359" t="str">
        <f>"080069818173"</f>
        <v>080069818173</v>
      </c>
      <c r="F1359" s="3">
        <v>46001</v>
      </c>
      <c r="G1359">
        <v>202609</v>
      </c>
      <c r="H1359" t="s">
        <v>75</v>
      </c>
      <c r="I1359" t="s">
        <v>76</v>
      </c>
      <c r="J1359" t="s">
        <v>77</v>
      </c>
      <c r="K1359" t="s">
        <v>78</v>
      </c>
      <c r="L1359" t="s">
        <v>100</v>
      </c>
      <c r="M1359" t="s">
        <v>101</v>
      </c>
      <c r="N1359" t="s">
        <v>1367</v>
      </c>
      <c r="O1359" t="s">
        <v>89</v>
      </c>
      <c r="P1359" t="str">
        <f>"4170072846                    "</f>
        <v xml:space="preserve">4170072846                    </v>
      </c>
      <c r="Q1359">
        <v>0</v>
      </c>
      <c r="R1359">
        <v>0</v>
      </c>
      <c r="S1359">
        <v>0</v>
      </c>
      <c r="T1359">
        <v>0</v>
      </c>
      <c r="U1359">
        <v>0</v>
      </c>
      <c r="V1359">
        <v>0</v>
      </c>
      <c r="W1359">
        <v>0</v>
      </c>
      <c r="X1359">
        <v>0</v>
      </c>
      <c r="Y1359">
        <v>0</v>
      </c>
      <c r="Z1359">
        <v>0</v>
      </c>
      <c r="AA1359">
        <v>0</v>
      </c>
      <c r="AB1359">
        <v>0</v>
      </c>
      <c r="AC1359">
        <v>0</v>
      </c>
      <c r="AD1359">
        <v>0</v>
      </c>
      <c r="AE1359">
        <v>0</v>
      </c>
      <c r="AF1359">
        <v>0</v>
      </c>
      <c r="AG1359">
        <v>0</v>
      </c>
      <c r="AH1359">
        <v>0</v>
      </c>
      <c r="AI1359">
        <v>0</v>
      </c>
      <c r="AJ1359">
        <v>0</v>
      </c>
      <c r="AK1359">
        <v>0</v>
      </c>
      <c r="AL1359">
        <v>0</v>
      </c>
      <c r="AM1359">
        <v>0</v>
      </c>
      <c r="AN1359">
        <v>0</v>
      </c>
      <c r="AO1359">
        <v>0</v>
      </c>
      <c r="AP1359">
        <v>0</v>
      </c>
      <c r="AQ1359">
        <v>31.9</v>
      </c>
      <c r="AR1359">
        <v>0</v>
      </c>
      <c r="AS1359">
        <v>0</v>
      </c>
      <c r="AT1359">
        <v>0</v>
      </c>
      <c r="AU1359">
        <v>0</v>
      </c>
      <c r="AV1359">
        <v>0</v>
      </c>
      <c r="AW1359">
        <v>0</v>
      </c>
      <c r="AX1359">
        <v>0</v>
      </c>
      <c r="AY1359">
        <v>0</v>
      </c>
      <c r="AZ1359">
        <v>0</v>
      </c>
      <c r="BA1359">
        <v>0</v>
      </c>
      <c r="BB1359">
        <v>0</v>
      </c>
      <c r="BC1359">
        <v>0</v>
      </c>
      <c r="BD1359">
        <v>0</v>
      </c>
      <c r="BE1359">
        <v>0</v>
      </c>
      <c r="BF1359">
        <v>0</v>
      </c>
      <c r="BG1359">
        <v>0</v>
      </c>
      <c r="BH1359">
        <v>1</v>
      </c>
      <c r="BI1359">
        <v>0.2</v>
      </c>
      <c r="BJ1359">
        <v>2.1</v>
      </c>
      <c r="BK1359">
        <v>2.5</v>
      </c>
      <c r="BL1359">
        <v>95.07</v>
      </c>
      <c r="BM1359">
        <v>14.26</v>
      </c>
      <c r="BN1359">
        <v>109.33</v>
      </c>
      <c r="BO1359">
        <v>109.33</v>
      </c>
      <c r="BQ1359" t="s">
        <v>1368</v>
      </c>
      <c r="BR1359" t="s">
        <v>82</v>
      </c>
      <c r="BS1359" s="3">
        <v>46002</v>
      </c>
      <c r="BT1359" s="4">
        <v>0.39374999999999999</v>
      </c>
      <c r="BU1359" t="s">
        <v>1733</v>
      </c>
      <c r="BV1359" t="s">
        <v>84</v>
      </c>
      <c r="BY1359">
        <v>10342.530000000001</v>
      </c>
      <c r="CA1359" t="s">
        <v>323</v>
      </c>
      <c r="CC1359" t="s">
        <v>101</v>
      </c>
      <c r="CD1359">
        <v>4001</v>
      </c>
      <c r="CE1359" t="s">
        <v>134</v>
      </c>
      <c r="CI1359">
        <v>1</v>
      </c>
      <c r="CJ1359">
        <v>1</v>
      </c>
      <c r="CK1359">
        <v>21</v>
      </c>
      <c r="CL1359" t="s">
        <v>87</v>
      </c>
    </row>
    <row r="1360" spans="1:90" x14ac:dyDescent="0.3">
      <c r="A1360" t="s">
        <v>72</v>
      </c>
      <c r="B1360" t="s">
        <v>73</v>
      </c>
      <c r="C1360" t="s">
        <v>74</v>
      </c>
      <c r="E1360" t="str">
        <f>"080069818237"</f>
        <v>080069818237</v>
      </c>
      <c r="F1360" s="3">
        <v>46001</v>
      </c>
      <c r="G1360">
        <v>202609</v>
      </c>
      <c r="H1360" t="s">
        <v>75</v>
      </c>
      <c r="I1360" t="s">
        <v>76</v>
      </c>
      <c r="J1360" t="s">
        <v>77</v>
      </c>
      <c r="K1360" t="s">
        <v>78</v>
      </c>
      <c r="L1360" t="s">
        <v>302</v>
      </c>
      <c r="M1360" t="s">
        <v>303</v>
      </c>
      <c r="N1360" t="s">
        <v>2054</v>
      </c>
      <c r="O1360" t="s">
        <v>89</v>
      </c>
      <c r="P1360" t="str">
        <f>"4170072867                    "</f>
        <v xml:space="preserve">4170072867                    </v>
      </c>
      <c r="Q1360">
        <v>0</v>
      </c>
      <c r="R1360">
        <v>0</v>
      </c>
      <c r="S1360">
        <v>0</v>
      </c>
      <c r="T1360">
        <v>0</v>
      </c>
      <c r="U1360">
        <v>0</v>
      </c>
      <c r="V1360">
        <v>0</v>
      </c>
      <c r="W1360">
        <v>0</v>
      </c>
      <c r="X1360">
        <v>0</v>
      </c>
      <c r="Y1360">
        <v>0</v>
      </c>
      <c r="Z1360">
        <v>0</v>
      </c>
      <c r="AA1360">
        <v>0</v>
      </c>
      <c r="AB1360">
        <v>0</v>
      </c>
      <c r="AC1360">
        <v>0</v>
      </c>
      <c r="AD1360">
        <v>0</v>
      </c>
      <c r="AE1360">
        <v>0</v>
      </c>
      <c r="AF1360">
        <v>0</v>
      </c>
      <c r="AG1360">
        <v>0</v>
      </c>
      <c r="AH1360">
        <v>0</v>
      </c>
      <c r="AI1360">
        <v>0</v>
      </c>
      <c r="AJ1360">
        <v>0</v>
      </c>
      <c r="AK1360">
        <v>0</v>
      </c>
      <c r="AL1360">
        <v>0</v>
      </c>
      <c r="AM1360">
        <v>0</v>
      </c>
      <c r="AN1360">
        <v>0</v>
      </c>
      <c r="AO1360">
        <v>0</v>
      </c>
      <c r="AP1360">
        <v>0</v>
      </c>
      <c r="AQ1360">
        <v>31.9</v>
      </c>
      <c r="AR1360">
        <v>0</v>
      </c>
      <c r="AS1360">
        <v>0</v>
      </c>
      <c r="AT1360">
        <v>0</v>
      </c>
      <c r="AU1360">
        <v>0</v>
      </c>
      <c r="AV1360">
        <v>0</v>
      </c>
      <c r="AW1360">
        <v>0</v>
      </c>
      <c r="AX1360">
        <v>0</v>
      </c>
      <c r="AY1360">
        <v>0</v>
      </c>
      <c r="AZ1360">
        <v>0</v>
      </c>
      <c r="BA1360">
        <v>0</v>
      </c>
      <c r="BB1360">
        <v>0</v>
      </c>
      <c r="BC1360">
        <v>0</v>
      </c>
      <c r="BD1360">
        <v>0</v>
      </c>
      <c r="BE1360">
        <v>0</v>
      </c>
      <c r="BF1360">
        <v>0</v>
      </c>
      <c r="BG1360">
        <v>0</v>
      </c>
      <c r="BH1360">
        <v>1</v>
      </c>
      <c r="BI1360">
        <v>0.2</v>
      </c>
      <c r="BJ1360">
        <v>2.2000000000000002</v>
      </c>
      <c r="BK1360">
        <v>2.5</v>
      </c>
      <c r="BL1360">
        <v>95.07</v>
      </c>
      <c r="BM1360">
        <v>14.26</v>
      </c>
      <c r="BN1360">
        <v>109.33</v>
      </c>
      <c r="BO1360">
        <v>109.33</v>
      </c>
      <c r="BQ1360" t="s">
        <v>2055</v>
      </c>
      <c r="BR1360" t="s">
        <v>82</v>
      </c>
      <c r="BS1360" s="3">
        <v>46002</v>
      </c>
      <c r="BT1360" s="4">
        <v>0.40902777777777777</v>
      </c>
      <c r="BU1360" t="s">
        <v>2056</v>
      </c>
      <c r="BV1360" t="s">
        <v>84</v>
      </c>
      <c r="BY1360">
        <v>11127.15</v>
      </c>
      <c r="CA1360">
        <v>9103185460089</v>
      </c>
      <c r="CC1360" t="s">
        <v>303</v>
      </c>
      <c r="CD1360" s="5" t="s">
        <v>433</v>
      </c>
      <c r="CE1360" t="s">
        <v>134</v>
      </c>
      <c r="CF1360" s="3">
        <v>46002</v>
      </c>
      <c r="CI1360">
        <v>1</v>
      </c>
      <c r="CJ1360">
        <v>1</v>
      </c>
      <c r="CK1360">
        <v>21</v>
      </c>
      <c r="CL1360" t="s">
        <v>87</v>
      </c>
    </row>
    <row r="1361" spans="1:90" x14ac:dyDescent="0.3">
      <c r="A1361" t="s">
        <v>72</v>
      </c>
      <c r="B1361" t="s">
        <v>73</v>
      </c>
      <c r="C1361" t="s">
        <v>74</v>
      </c>
      <c r="E1361" t="str">
        <f>"080069818221"</f>
        <v>080069818221</v>
      </c>
      <c r="F1361" s="3">
        <v>46001</v>
      </c>
      <c r="G1361">
        <v>202609</v>
      </c>
      <c r="H1361" t="s">
        <v>75</v>
      </c>
      <c r="I1361" t="s">
        <v>76</v>
      </c>
      <c r="J1361" t="s">
        <v>77</v>
      </c>
      <c r="K1361" t="s">
        <v>78</v>
      </c>
      <c r="L1361" t="s">
        <v>399</v>
      </c>
      <c r="M1361" t="s">
        <v>400</v>
      </c>
      <c r="N1361" t="s">
        <v>2057</v>
      </c>
      <c r="O1361" t="s">
        <v>340</v>
      </c>
      <c r="P1361" t="str">
        <f>"4170072780                    "</f>
        <v xml:space="preserve">4170072780                    </v>
      </c>
      <c r="Q1361">
        <v>0</v>
      </c>
      <c r="R1361">
        <v>0</v>
      </c>
      <c r="S1361">
        <v>0</v>
      </c>
      <c r="T1361">
        <v>0</v>
      </c>
      <c r="U1361">
        <v>0</v>
      </c>
      <c r="V1361">
        <v>0</v>
      </c>
      <c r="W1361">
        <v>0</v>
      </c>
      <c r="X1361">
        <v>0</v>
      </c>
      <c r="Y1361">
        <v>0</v>
      </c>
      <c r="Z1361">
        <v>0</v>
      </c>
      <c r="AA1361">
        <v>0</v>
      </c>
      <c r="AB1361">
        <v>0</v>
      </c>
      <c r="AC1361">
        <v>0</v>
      </c>
      <c r="AD1361">
        <v>0</v>
      </c>
      <c r="AE1361">
        <v>0</v>
      </c>
      <c r="AF1361">
        <v>0</v>
      </c>
      <c r="AG1361">
        <v>0</v>
      </c>
      <c r="AH1361">
        <v>0</v>
      </c>
      <c r="AI1361">
        <v>0</v>
      </c>
      <c r="AJ1361">
        <v>0</v>
      </c>
      <c r="AK1361">
        <v>0</v>
      </c>
      <c r="AL1361">
        <v>0</v>
      </c>
      <c r="AM1361">
        <v>0</v>
      </c>
      <c r="AN1361">
        <v>0</v>
      </c>
      <c r="AO1361">
        <v>0</v>
      </c>
      <c r="AP1361">
        <v>0</v>
      </c>
      <c r="AQ1361">
        <v>19.940000000000001</v>
      </c>
      <c r="AR1361">
        <v>0</v>
      </c>
      <c r="AS1361">
        <v>0</v>
      </c>
      <c r="AT1361">
        <v>0</v>
      </c>
      <c r="AU1361">
        <v>0</v>
      </c>
      <c r="AV1361">
        <v>0</v>
      </c>
      <c r="AW1361">
        <v>0</v>
      </c>
      <c r="AX1361">
        <v>0</v>
      </c>
      <c r="AY1361">
        <v>0</v>
      </c>
      <c r="AZ1361">
        <v>0</v>
      </c>
      <c r="BA1361">
        <v>0</v>
      </c>
      <c r="BB1361">
        <v>0</v>
      </c>
      <c r="BC1361">
        <v>0</v>
      </c>
      <c r="BD1361">
        <v>0</v>
      </c>
      <c r="BE1361">
        <v>0</v>
      </c>
      <c r="BF1361">
        <v>0</v>
      </c>
      <c r="BG1361">
        <v>0</v>
      </c>
      <c r="BH1361">
        <v>1</v>
      </c>
      <c r="BI1361">
        <v>6.8</v>
      </c>
      <c r="BJ1361">
        <v>6.9</v>
      </c>
      <c r="BK1361">
        <v>7</v>
      </c>
      <c r="BL1361">
        <v>59.43</v>
      </c>
      <c r="BM1361">
        <v>8.91</v>
      </c>
      <c r="BN1361">
        <v>68.34</v>
      </c>
      <c r="BO1361">
        <v>68.34</v>
      </c>
      <c r="BQ1361" t="s">
        <v>2058</v>
      </c>
      <c r="BR1361" t="s">
        <v>82</v>
      </c>
      <c r="BS1361" s="3">
        <v>46002</v>
      </c>
      <c r="BT1361" s="4">
        <v>0.34722222222222221</v>
      </c>
      <c r="BU1361" t="s">
        <v>827</v>
      </c>
      <c r="BV1361" t="s">
        <v>84</v>
      </c>
      <c r="BY1361">
        <v>34570.800000000003</v>
      </c>
      <c r="CA1361" t="s">
        <v>973</v>
      </c>
      <c r="CC1361" t="s">
        <v>400</v>
      </c>
      <c r="CD1361">
        <v>1724</v>
      </c>
      <c r="CE1361" t="s">
        <v>93</v>
      </c>
      <c r="CF1361" s="3">
        <v>46002</v>
      </c>
      <c r="CI1361">
        <v>1</v>
      </c>
      <c r="CJ1361">
        <v>1</v>
      </c>
      <c r="CK1361">
        <v>32</v>
      </c>
      <c r="CL1361" t="s">
        <v>87</v>
      </c>
    </row>
    <row r="1362" spans="1:90" x14ac:dyDescent="0.3">
      <c r="A1362" t="s">
        <v>72</v>
      </c>
      <c r="B1362" t="s">
        <v>73</v>
      </c>
      <c r="C1362" t="s">
        <v>74</v>
      </c>
      <c r="E1362" t="str">
        <f>"080069818258"</f>
        <v>080069818258</v>
      </c>
      <c r="F1362" s="3">
        <v>46001</v>
      </c>
      <c r="G1362">
        <v>202609</v>
      </c>
      <c r="H1362" t="s">
        <v>75</v>
      </c>
      <c r="I1362" t="s">
        <v>76</v>
      </c>
      <c r="J1362" t="s">
        <v>77</v>
      </c>
      <c r="K1362" t="s">
        <v>78</v>
      </c>
      <c r="L1362" t="s">
        <v>75</v>
      </c>
      <c r="M1362" t="s">
        <v>76</v>
      </c>
      <c r="N1362" t="s">
        <v>79</v>
      </c>
      <c r="O1362" t="s">
        <v>340</v>
      </c>
      <c r="P1362" t="str">
        <f>"4170072858                    "</f>
        <v xml:space="preserve">4170072858                    </v>
      </c>
      <c r="Q1362">
        <v>0</v>
      </c>
      <c r="R1362">
        <v>0</v>
      </c>
      <c r="S1362">
        <v>0</v>
      </c>
      <c r="T1362">
        <v>0</v>
      </c>
      <c r="U1362">
        <v>0</v>
      </c>
      <c r="V1362">
        <v>0</v>
      </c>
      <c r="W1362">
        <v>0</v>
      </c>
      <c r="X1362">
        <v>0</v>
      </c>
      <c r="Y1362">
        <v>0</v>
      </c>
      <c r="Z1362">
        <v>0</v>
      </c>
      <c r="AA1362">
        <v>0</v>
      </c>
      <c r="AB1362">
        <v>0</v>
      </c>
      <c r="AC1362">
        <v>0</v>
      </c>
      <c r="AD1362">
        <v>0</v>
      </c>
      <c r="AE1362">
        <v>0</v>
      </c>
      <c r="AF1362">
        <v>0</v>
      </c>
      <c r="AG1362">
        <v>0</v>
      </c>
      <c r="AH1362">
        <v>0</v>
      </c>
      <c r="AI1362">
        <v>0</v>
      </c>
      <c r="AJ1362">
        <v>0</v>
      </c>
      <c r="AK1362">
        <v>0</v>
      </c>
      <c r="AL1362">
        <v>0</v>
      </c>
      <c r="AM1362">
        <v>0</v>
      </c>
      <c r="AN1362">
        <v>0</v>
      </c>
      <c r="AO1362">
        <v>0</v>
      </c>
      <c r="AP1362">
        <v>0</v>
      </c>
      <c r="AQ1362">
        <v>19.940000000000001</v>
      </c>
      <c r="AR1362">
        <v>0</v>
      </c>
      <c r="AS1362">
        <v>0</v>
      </c>
      <c r="AT1362">
        <v>0</v>
      </c>
      <c r="AU1362">
        <v>0</v>
      </c>
      <c r="AV1362">
        <v>0</v>
      </c>
      <c r="AW1362">
        <v>0</v>
      </c>
      <c r="AX1362">
        <v>0</v>
      </c>
      <c r="AY1362">
        <v>0</v>
      </c>
      <c r="AZ1362">
        <v>0</v>
      </c>
      <c r="BA1362">
        <v>0</v>
      </c>
      <c r="BB1362">
        <v>0</v>
      </c>
      <c r="BC1362">
        <v>0</v>
      </c>
      <c r="BD1362">
        <v>0</v>
      </c>
      <c r="BE1362">
        <v>0</v>
      </c>
      <c r="BF1362">
        <v>0</v>
      </c>
      <c r="BG1362">
        <v>0</v>
      </c>
      <c r="BH1362">
        <v>1</v>
      </c>
      <c r="BI1362">
        <v>5</v>
      </c>
      <c r="BJ1362">
        <v>1.9</v>
      </c>
      <c r="BK1362">
        <v>5</v>
      </c>
      <c r="BL1362">
        <v>59.43</v>
      </c>
      <c r="BM1362">
        <v>8.91</v>
      </c>
      <c r="BN1362">
        <v>68.34</v>
      </c>
      <c r="BO1362">
        <v>68.34</v>
      </c>
      <c r="BQ1362" t="s">
        <v>81</v>
      </c>
      <c r="BR1362" t="s">
        <v>82</v>
      </c>
      <c r="BS1362" s="3">
        <v>46002</v>
      </c>
      <c r="BT1362" s="4">
        <v>0.4201388888888889</v>
      </c>
      <c r="BU1362" t="s">
        <v>2034</v>
      </c>
      <c r="BV1362" t="s">
        <v>84</v>
      </c>
      <c r="BY1362">
        <v>9576.8799999999992</v>
      </c>
      <c r="CA1362" t="s">
        <v>85</v>
      </c>
      <c r="CC1362" t="s">
        <v>76</v>
      </c>
      <c r="CD1362">
        <v>1619</v>
      </c>
      <c r="CE1362" t="s">
        <v>86</v>
      </c>
      <c r="CF1362" s="3">
        <v>46003</v>
      </c>
      <c r="CI1362">
        <v>1</v>
      </c>
      <c r="CJ1362">
        <v>1</v>
      </c>
      <c r="CK1362">
        <v>32</v>
      </c>
      <c r="CL1362" t="s">
        <v>87</v>
      </c>
    </row>
    <row r="1363" spans="1:90" x14ac:dyDescent="0.3">
      <c r="A1363" t="s">
        <v>72</v>
      </c>
      <c r="B1363" t="s">
        <v>73</v>
      </c>
      <c r="C1363" t="s">
        <v>74</v>
      </c>
      <c r="E1363" t="str">
        <f>"080069818264"</f>
        <v>080069818264</v>
      </c>
      <c r="F1363" s="3">
        <v>46001</v>
      </c>
      <c r="G1363">
        <v>202609</v>
      </c>
      <c r="H1363" t="s">
        <v>75</v>
      </c>
      <c r="I1363" t="s">
        <v>76</v>
      </c>
      <c r="J1363" t="s">
        <v>77</v>
      </c>
      <c r="K1363" t="s">
        <v>78</v>
      </c>
      <c r="L1363" t="s">
        <v>156</v>
      </c>
      <c r="M1363" t="s">
        <v>157</v>
      </c>
      <c r="N1363" t="s">
        <v>1750</v>
      </c>
      <c r="O1363" t="s">
        <v>89</v>
      </c>
      <c r="P1363" t="str">
        <f>"4170072817                    "</f>
        <v xml:space="preserve">4170072817                    </v>
      </c>
      <c r="Q1363">
        <v>0</v>
      </c>
      <c r="R1363">
        <v>0</v>
      </c>
      <c r="S1363">
        <v>0</v>
      </c>
      <c r="T1363">
        <v>0</v>
      </c>
      <c r="U1363">
        <v>0</v>
      </c>
      <c r="V1363">
        <v>0</v>
      </c>
      <c r="W1363">
        <v>0</v>
      </c>
      <c r="X1363">
        <v>0</v>
      </c>
      <c r="Y1363">
        <v>0</v>
      </c>
      <c r="Z1363">
        <v>0</v>
      </c>
      <c r="AA1363">
        <v>0</v>
      </c>
      <c r="AB1363">
        <v>0</v>
      </c>
      <c r="AC1363">
        <v>0</v>
      </c>
      <c r="AD1363">
        <v>0</v>
      </c>
      <c r="AE1363">
        <v>0</v>
      </c>
      <c r="AF1363">
        <v>0</v>
      </c>
      <c r="AG1363">
        <v>0</v>
      </c>
      <c r="AH1363">
        <v>0</v>
      </c>
      <c r="AI1363">
        <v>0</v>
      </c>
      <c r="AJ1363">
        <v>0</v>
      </c>
      <c r="AK1363">
        <v>0</v>
      </c>
      <c r="AL1363">
        <v>0</v>
      </c>
      <c r="AM1363">
        <v>0</v>
      </c>
      <c r="AN1363">
        <v>0</v>
      </c>
      <c r="AO1363">
        <v>0</v>
      </c>
      <c r="AP1363">
        <v>0</v>
      </c>
      <c r="AQ1363">
        <v>25.52</v>
      </c>
      <c r="AR1363">
        <v>0</v>
      </c>
      <c r="AS1363">
        <v>0</v>
      </c>
      <c r="AT1363">
        <v>0</v>
      </c>
      <c r="AU1363">
        <v>0</v>
      </c>
      <c r="AV1363">
        <v>0</v>
      </c>
      <c r="AW1363">
        <v>0</v>
      </c>
      <c r="AX1363">
        <v>0</v>
      </c>
      <c r="AY1363">
        <v>0</v>
      </c>
      <c r="AZ1363">
        <v>0</v>
      </c>
      <c r="BA1363">
        <v>0</v>
      </c>
      <c r="BB1363">
        <v>0</v>
      </c>
      <c r="BC1363">
        <v>0</v>
      </c>
      <c r="BD1363">
        <v>0</v>
      </c>
      <c r="BE1363">
        <v>0</v>
      </c>
      <c r="BF1363">
        <v>0</v>
      </c>
      <c r="BG1363">
        <v>0</v>
      </c>
      <c r="BH1363">
        <v>1</v>
      </c>
      <c r="BI1363">
        <v>1</v>
      </c>
      <c r="BJ1363">
        <v>0.2</v>
      </c>
      <c r="BK1363">
        <v>1</v>
      </c>
      <c r="BL1363">
        <v>76.06</v>
      </c>
      <c r="BM1363">
        <v>11.41</v>
      </c>
      <c r="BN1363">
        <v>87.47</v>
      </c>
      <c r="BO1363">
        <v>87.47</v>
      </c>
      <c r="BQ1363" t="s">
        <v>1751</v>
      </c>
      <c r="BR1363" t="s">
        <v>82</v>
      </c>
      <c r="BS1363" s="3">
        <v>46002</v>
      </c>
      <c r="BT1363" s="4">
        <v>0.44097222222222221</v>
      </c>
      <c r="BU1363" t="s">
        <v>2059</v>
      </c>
      <c r="BV1363" t="s">
        <v>84</v>
      </c>
      <c r="BY1363">
        <v>1200</v>
      </c>
      <c r="CA1363" t="s">
        <v>1753</v>
      </c>
      <c r="CC1363" t="s">
        <v>157</v>
      </c>
      <c r="CD1363">
        <v>7800</v>
      </c>
      <c r="CE1363" t="s">
        <v>134</v>
      </c>
      <c r="CI1363">
        <v>1</v>
      </c>
      <c r="CJ1363">
        <v>1</v>
      </c>
      <c r="CK1363">
        <v>21</v>
      </c>
      <c r="CL1363" t="s">
        <v>87</v>
      </c>
    </row>
    <row r="1364" spans="1:90" x14ac:dyDescent="0.3">
      <c r="A1364" t="s">
        <v>72</v>
      </c>
      <c r="B1364" t="s">
        <v>73</v>
      </c>
      <c r="C1364" t="s">
        <v>74</v>
      </c>
      <c r="E1364" t="str">
        <f>"080069818297"</f>
        <v>080069818297</v>
      </c>
      <c r="F1364" s="3">
        <v>46001</v>
      </c>
      <c r="G1364">
        <v>202609</v>
      </c>
      <c r="H1364" t="s">
        <v>75</v>
      </c>
      <c r="I1364" t="s">
        <v>76</v>
      </c>
      <c r="J1364" t="s">
        <v>77</v>
      </c>
      <c r="K1364" t="s">
        <v>78</v>
      </c>
      <c r="L1364" t="s">
        <v>94</v>
      </c>
      <c r="M1364" t="s">
        <v>95</v>
      </c>
      <c r="N1364" t="s">
        <v>1351</v>
      </c>
      <c r="O1364" t="s">
        <v>89</v>
      </c>
      <c r="P1364" t="str">
        <f>"4170072849                    "</f>
        <v xml:space="preserve">4170072849                    </v>
      </c>
      <c r="Q1364">
        <v>0</v>
      </c>
      <c r="R1364">
        <v>0</v>
      </c>
      <c r="S1364">
        <v>0</v>
      </c>
      <c r="T1364">
        <v>0</v>
      </c>
      <c r="U1364">
        <v>0</v>
      </c>
      <c r="V1364">
        <v>0</v>
      </c>
      <c r="W1364">
        <v>0</v>
      </c>
      <c r="X1364">
        <v>0</v>
      </c>
      <c r="Y1364">
        <v>0</v>
      </c>
      <c r="Z1364">
        <v>0</v>
      </c>
      <c r="AA1364">
        <v>0</v>
      </c>
      <c r="AB1364">
        <v>0</v>
      </c>
      <c r="AC1364">
        <v>0</v>
      </c>
      <c r="AD1364">
        <v>0</v>
      </c>
      <c r="AE1364">
        <v>0</v>
      </c>
      <c r="AF1364">
        <v>0</v>
      </c>
      <c r="AG1364">
        <v>0</v>
      </c>
      <c r="AH1364">
        <v>0</v>
      </c>
      <c r="AI1364">
        <v>0</v>
      </c>
      <c r="AJ1364">
        <v>0</v>
      </c>
      <c r="AK1364">
        <v>0</v>
      </c>
      <c r="AL1364">
        <v>0</v>
      </c>
      <c r="AM1364">
        <v>0</v>
      </c>
      <c r="AN1364">
        <v>0</v>
      </c>
      <c r="AO1364">
        <v>0</v>
      </c>
      <c r="AP1364">
        <v>0</v>
      </c>
      <c r="AQ1364">
        <v>25.52</v>
      </c>
      <c r="AR1364">
        <v>0</v>
      </c>
      <c r="AS1364">
        <v>0</v>
      </c>
      <c r="AT1364">
        <v>0</v>
      </c>
      <c r="AU1364">
        <v>0</v>
      </c>
      <c r="AV1364">
        <v>0</v>
      </c>
      <c r="AW1364">
        <v>0</v>
      </c>
      <c r="AX1364">
        <v>0</v>
      </c>
      <c r="AY1364">
        <v>0</v>
      </c>
      <c r="AZ1364">
        <v>0</v>
      </c>
      <c r="BA1364">
        <v>0</v>
      </c>
      <c r="BB1364">
        <v>0</v>
      </c>
      <c r="BC1364">
        <v>0</v>
      </c>
      <c r="BD1364">
        <v>0</v>
      </c>
      <c r="BE1364">
        <v>0</v>
      </c>
      <c r="BF1364">
        <v>0</v>
      </c>
      <c r="BG1364">
        <v>0</v>
      </c>
      <c r="BH1364">
        <v>1</v>
      </c>
      <c r="BI1364">
        <v>1.3</v>
      </c>
      <c r="BJ1364">
        <v>1.6</v>
      </c>
      <c r="BK1364">
        <v>2</v>
      </c>
      <c r="BL1364">
        <v>76.06</v>
      </c>
      <c r="BM1364">
        <v>11.41</v>
      </c>
      <c r="BN1364">
        <v>87.47</v>
      </c>
      <c r="BO1364">
        <v>87.47</v>
      </c>
      <c r="BQ1364" t="s">
        <v>1352</v>
      </c>
      <c r="BR1364" t="s">
        <v>82</v>
      </c>
      <c r="BS1364" s="3">
        <v>46002</v>
      </c>
      <c r="BT1364" s="4">
        <v>0.41736111111111113</v>
      </c>
      <c r="BU1364" t="s">
        <v>1353</v>
      </c>
      <c r="BV1364" t="s">
        <v>84</v>
      </c>
      <c r="BY1364">
        <v>7969.6</v>
      </c>
      <c r="CA1364" t="s">
        <v>929</v>
      </c>
      <c r="CC1364" t="s">
        <v>95</v>
      </c>
      <c r="CD1364">
        <v>3610</v>
      </c>
      <c r="CE1364" t="s">
        <v>86</v>
      </c>
      <c r="CF1364" s="3">
        <v>46002</v>
      </c>
      <c r="CI1364">
        <v>1</v>
      </c>
      <c r="CJ1364">
        <v>1</v>
      </c>
      <c r="CK1364">
        <v>21</v>
      </c>
      <c r="CL1364" t="s">
        <v>87</v>
      </c>
    </row>
    <row r="1365" spans="1:90" x14ac:dyDescent="0.3">
      <c r="A1365" t="s">
        <v>72</v>
      </c>
      <c r="B1365" t="s">
        <v>73</v>
      </c>
      <c r="C1365" t="s">
        <v>74</v>
      </c>
      <c r="E1365" t="str">
        <f>"080069818301"</f>
        <v>080069818301</v>
      </c>
      <c r="F1365" s="3">
        <v>46001</v>
      </c>
      <c r="G1365">
        <v>202609</v>
      </c>
      <c r="H1365" t="s">
        <v>75</v>
      </c>
      <c r="I1365" t="s">
        <v>76</v>
      </c>
      <c r="J1365" t="s">
        <v>77</v>
      </c>
      <c r="K1365" t="s">
        <v>78</v>
      </c>
      <c r="L1365" t="s">
        <v>283</v>
      </c>
      <c r="M1365" t="s">
        <v>284</v>
      </c>
      <c r="N1365" t="s">
        <v>1666</v>
      </c>
      <c r="O1365" t="s">
        <v>89</v>
      </c>
      <c r="P1365" t="str">
        <f>"4170072884                    "</f>
        <v xml:space="preserve">4170072884                    </v>
      </c>
      <c r="Q1365">
        <v>0</v>
      </c>
      <c r="R1365">
        <v>0</v>
      </c>
      <c r="S1365">
        <v>0</v>
      </c>
      <c r="T1365">
        <v>0</v>
      </c>
      <c r="U1365">
        <v>0</v>
      </c>
      <c r="V1365">
        <v>0</v>
      </c>
      <c r="W1365">
        <v>0</v>
      </c>
      <c r="X1365">
        <v>0</v>
      </c>
      <c r="Y1365">
        <v>0</v>
      </c>
      <c r="Z1365">
        <v>0</v>
      </c>
      <c r="AA1365">
        <v>0</v>
      </c>
      <c r="AB1365">
        <v>0</v>
      </c>
      <c r="AC1365">
        <v>0</v>
      </c>
      <c r="AD1365">
        <v>0</v>
      </c>
      <c r="AE1365">
        <v>0</v>
      </c>
      <c r="AF1365">
        <v>0</v>
      </c>
      <c r="AG1365">
        <v>0</v>
      </c>
      <c r="AH1365">
        <v>0</v>
      </c>
      <c r="AI1365">
        <v>0</v>
      </c>
      <c r="AJ1365">
        <v>0</v>
      </c>
      <c r="AK1365">
        <v>0</v>
      </c>
      <c r="AL1365">
        <v>0</v>
      </c>
      <c r="AM1365">
        <v>0</v>
      </c>
      <c r="AN1365">
        <v>0</v>
      </c>
      <c r="AO1365">
        <v>0</v>
      </c>
      <c r="AP1365">
        <v>0</v>
      </c>
      <c r="AQ1365">
        <v>49.45</v>
      </c>
      <c r="AR1365">
        <v>0</v>
      </c>
      <c r="AS1365">
        <v>0</v>
      </c>
      <c r="AT1365">
        <v>0</v>
      </c>
      <c r="AU1365">
        <v>0</v>
      </c>
      <c r="AV1365">
        <v>0</v>
      </c>
      <c r="AW1365">
        <v>0</v>
      </c>
      <c r="AX1365">
        <v>0</v>
      </c>
      <c r="AY1365">
        <v>0</v>
      </c>
      <c r="AZ1365">
        <v>0</v>
      </c>
      <c r="BA1365">
        <v>0</v>
      </c>
      <c r="BB1365">
        <v>0</v>
      </c>
      <c r="BC1365">
        <v>0</v>
      </c>
      <c r="BD1365">
        <v>0</v>
      </c>
      <c r="BE1365">
        <v>0</v>
      </c>
      <c r="BF1365">
        <v>0</v>
      </c>
      <c r="BG1365">
        <v>0</v>
      </c>
      <c r="BH1365">
        <v>1</v>
      </c>
      <c r="BI1365">
        <v>1</v>
      </c>
      <c r="BJ1365">
        <v>0.2</v>
      </c>
      <c r="BK1365">
        <v>1</v>
      </c>
      <c r="BL1365">
        <v>147.38</v>
      </c>
      <c r="BM1365">
        <v>22.11</v>
      </c>
      <c r="BN1365">
        <v>169.49</v>
      </c>
      <c r="BO1365">
        <v>169.49</v>
      </c>
      <c r="BQ1365" t="s">
        <v>1667</v>
      </c>
      <c r="BR1365" t="s">
        <v>82</v>
      </c>
      <c r="BS1365" t="s">
        <v>500</v>
      </c>
      <c r="BY1365">
        <v>1200</v>
      </c>
      <c r="CC1365" t="s">
        <v>284</v>
      </c>
      <c r="CD1365">
        <v>1947</v>
      </c>
      <c r="CE1365" t="s">
        <v>134</v>
      </c>
      <c r="CF1365" s="3">
        <v>46002</v>
      </c>
      <c r="CI1365">
        <v>1</v>
      </c>
      <c r="CJ1365" t="s">
        <v>500</v>
      </c>
      <c r="CK1365">
        <v>23</v>
      </c>
      <c r="CL1365" t="s">
        <v>87</v>
      </c>
    </row>
    <row r="1366" spans="1:90" x14ac:dyDescent="0.3">
      <c r="A1366" t="s">
        <v>72</v>
      </c>
      <c r="B1366" t="s">
        <v>73</v>
      </c>
      <c r="C1366" t="s">
        <v>74</v>
      </c>
      <c r="E1366" t="str">
        <f>"080069818324"</f>
        <v>080069818324</v>
      </c>
      <c r="F1366" s="3">
        <v>46001</v>
      </c>
      <c r="G1366">
        <v>202609</v>
      </c>
      <c r="H1366" t="s">
        <v>75</v>
      </c>
      <c r="I1366" t="s">
        <v>76</v>
      </c>
      <c r="J1366" t="s">
        <v>77</v>
      </c>
      <c r="K1366" t="s">
        <v>78</v>
      </c>
      <c r="L1366" t="s">
        <v>94</v>
      </c>
      <c r="M1366" t="s">
        <v>95</v>
      </c>
      <c r="N1366" t="s">
        <v>96</v>
      </c>
      <c r="O1366" t="s">
        <v>89</v>
      </c>
      <c r="P1366" t="str">
        <f>"4170072832                    "</f>
        <v xml:space="preserve">4170072832                    </v>
      </c>
      <c r="Q1366">
        <v>0</v>
      </c>
      <c r="R1366">
        <v>0</v>
      </c>
      <c r="S1366">
        <v>0</v>
      </c>
      <c r="T1366">
        <v>0</v>
      </c>
      <c r="U1366">
        <v>0</v>
      </c>
      <c r="V1366">
        <v>0</v>
      </c>
      <c r="W1366">
        <v>0</v>
      </c>
      <c r="X1366">
        <v>0</v>
      </c>
      <c r="Y1366">
        <v>0</v>
      </c>
      <c r="Z1366">
        <v>0</v>
      </c>
      <c r="AA1366">
        <v>0</v>
      </c>
      <c r="AB1366">
        <v>0</v>
      </c>
      <c r="AC1366">
        <v>0</v>
      </c>
      <c r="AD1366">
        <v>0</v>
      </c>
      <c r="AE1366">
        <v>0</v>
      </c>
      <c r="AF1366">
        <v>0</v>
      </c>
      <c r="AG1366">
        <v>0</v>
      </c>
      <c r="AH1366">
        <v>0</v>
      </c>
      <c r="AI1366">
        <v>0</v>
      </c>
      <c r="AJ1366">
        <v>0</v>
      </c>
      <c r="AK1366">
        <v>0</v>
      </c>
      <c r="AL1366">
        <v>0</v>
      </c>
      <c r="AM1366">
        <v>0</v>
      </c>
      <c r="AN1366">
        <v>0</v>
      </c>
      <c r="AO1366">
        <v>0</v>
      </c>
      <c r="AP1366">
        <v>0</v>
      </c>
      <c r="AQ1366">
        <v>25.52</v>
      </c>
      <c r="AR1366">
        <v>0</v>
      </c>
      <c r="AS1366">
        <v>0</v>
      </c>
      <c r="AT1366">
        <v>0</v>
      </c>
      <c r="AU1366">
        <v>0</v>
      </c>
      <c r="AV1366">
        <v>0</v>
      </c>
      <c r="AW1366">
        <v>0</v>
      </c>
      <c r="AX1366">
        <v>0</v>
      </c>
      <c r="AY1366">
        <v>0</v>
      </c>
      <c r="AZ1366">
        <v>0</v>
      </c>
      <c r="BA1366">
        <v>0</v>
      </c>
      <c r="BB1366">
        <v>0</v>
      </c>
      <c r="BC1366">
        <v>0</v>
      </c>
      <c r="BD1366">
        <v>0</v>
      </c>
      <c r="BE1366">
        <v>0</v>
      </c>
      <c r="BF1366">
        <v>0</v>
      </c>
      <c r="BG1366">
        <v>0</v>
      </c>
      <c r="BH1366">
        <v>1</v>
      </c>
      <c r="BI1366">
        <v>0.2</v>
      </c>
      <c r="BJ1366">
        <v>0.9</v>
      </c>
      <c r="BK1366">
        <v>1</v>
      </c>
      <c r="BL1366">
        <v>76.06</v>
      </c>
      <c r="BM1366">
        <v>11.41</v>
      </c>
      <c r="BN1366">
        <v>87.47</v>
      </c>
      <c r="BO1366">
        <v>87.47</v>
      </c>
      <c r="BQ1366" t="s">
        <v>97</v>
      </c>
      <c r="BR1366" t="s">
        <v>82</v>
      </c>
      <c r="BS1366" s="3">
        <v>46002</v>
      </c>
      <c r="BT1366" s="4">
        <v>0.3923611111111111</v>
      </c>
      <c r="BU1366" t="s">
        <v>98</v>
      </c>
      <c r="BV1366" t="s">
        <v>84</v>
      </c>
      <c r="BY1366">
        <v>4474.26</v>
      </c>
      <c r="CA1366" t="s">
        <v>99</v>
      </c>
      <c r="CC1366" t="s">
        <v>95</v>
      </c>
      <c r="CD1366">
        <v>3610</v>
      </c>
      <c r="CE1366" t="s">
        <v>134</v>
      </c>
      <c r="CF1366" s="3">
        <v>46002</v>
      </c>
      <c r="CI1366">
        <v>1</v>
      </c>
      <c r="CJ1366">
        <v>1</v>
      </c>
      <c r="CK1366">
        <v>21</v>
      </c>
      <c r="CL1366" t="s">
        <v>87</v>
      </c>
    </row>
    <row r="1367" spans="1:90" x14ac:dyDescent="0.3">
      <c r="A1367" t="s">
        <v>72</v>
      </c>
      <c r="B1367" t="s">
        <v>73</v>
      </c>
      <c r="C1367" t="s">
        <v>74</v>
      </c>
      <c r="E1367" t="str">
        <f>"080069818333"</f>
        <v>080069818333</v>
      </c>
      <c r="F1367" s="3">
        <v>46001</v>
      </c>
      <c r="G1367">
        <v>202609</v>
      </c>
      <c r="H1367" t="s">
        <v>75</v>
      </c>
      <c r="I1367" t="s">
        <v>76</v>
      </c>
      <c r="J1367" t="s">
        <v>77</v>
      </c>
      <c r="K1367" t="s">
        <v>78</v>
      </c>
      <c r="L1367" t="s">
        <v>302</v>
      </c>
      <c r="M1367" t="s">
        <v>303</v>
      </c>
      <c r="N1367" t="s">
        <v>1615</v>
      </c>
      <c r="O1367" t="s">
        <v>89</v>
      </c>
      <c r="P1367" t="str">
        <f>"4170072833                    "</f>
        <v xml:space="preserve">4170072833                    </v>
      </c>
      <c r="Q1367">
        <v>0</v>
      </c>
      <c r="R1367">
        <v>0</v>
      </c>
      <c r="S1367">
        <v>0</v>
      </c>
      <c r="T1367">
        <v>0</v>
      </c>
      <c r="U1367">
        <v>0</v>
      </c>
      <c r="V1367">
        <v>0</v>
      </c>
      <c r="W1367">
        <v>0</v>
      </c>
      <c r="X1367">
        <v>0</v>
      </c>
      <c r="Y1367">
        <v>0</v>
      </c>
      <c r="Z1367">
        <v>0</v>
      </c>
      <c r="AA1367">
        <v>0</v>
      </c>
      <c r="AB1367">
        <v>0</v>
      </c>
      <c r="AC1367">
        <v>0</v>
      </c>
      <c r="AD1367">
        <v>0</v>
      </c>
      <c r="AE1367">
        <v>0</v>
      </c>
      <c r="AF1367">
        <v>0</v>
      </c>
      <c r="AG1367">
        <v>0</v>
      </c>
      <c r="AH1367">
        <v>0</v>
      </c>
      <c r="AI1367">
        <v>0</v>
      </c>
      <c r="AJ1367">
        <v>0</v>
      </c>
      <c r="AK1367">
        <v>0</v>
      </c>
      <c r="AL1367">
        <v>0</v>
      </c>
      <c r="AM1367">
        <v>0</v>
      </c>
      <c r="AN1367">
        <v>0</v>
      </c>
      <c r="AO1367">
        <v>0</v>
      </c>
      <c r="AP1367">
        <v>0</v>
      </c>
      <c r="AQ1367">
        <v>25.52</v>
      </c>
      <c r="AR1367">
        <v>0</v>
      </c>
      <c r="AS1367">
        <v>0</v>
      </c>
      <c r="AT1367">
        <v>0</v>
      </c>
      <c r="AU1367">
        <v>0</v>
      </c>
      <c r="AV1367">
        <v>0</v>
      </c>
      <c r="AW1367">
        <v>0</v>
      </c>
      <c r="AX1367">
        <v>0</v>
      </c>
      <c r="AY1367">
        <v>0</v>
      </c>
      <c r="AZ1367">
        <v>0</v>
      </c>
      <c r="BA1367">
        <v>0</v>
      </c>
      <c r="BB1367">
        <v>0</v>
      </c>
      <c r="BC1367">
        <v>0</v>
      </c>
      <c r="BD1367">
        <v>0</v>
      </c>
      <c r="BE1367">
        <v>0</v>
      </c>
      <c r="BF1367">
        <v>0</v>
      </c>
      <c r="BG1367">
        <v>0</v>
      </c>
      <c r="BH1367">
        <v>1</v>
      </c>
      <c r="BI1367">
        <v>1</v>
      </c>
      <c r="BJ1367">
        <v>1.8</v>
      </c>
      <c r="BK1367">
        <v>2</v>
      </c>
      <c r="BL1367">
        <v>76.06</v>
      </c>
      <c r="BM1367">
        <v>11.41</v>
      </c>
      <c r="BN1367">
        <v>87.47</v>
      </c>
      <c r="BO1367">
        <v>87.47</v>
      </c>
      <c r="BQ1367" t="s">
        <v>1616</v>
      </c>
      <c r="BR1367" t="s">
        <v>82</v>
      </c>
      <c r="BS1367" s="3">
        <v>46002</v>
      </c>
      <c r="BT1367" s="4">
        <v>0.36805555555555558</v>
      </c>
      <c r="BU1367" t="s">
        <v>2060</v>
      </c>
      <c r="BV1367" t="s">
        <v>84</v>
      </c>
      <c r="BY1367">
        <v>8816</v>
      </c>
      <c r="CA1367">
        <v>8507115621084</v>
      </c>
      <c r="CC1367" t="s">
        <v>303</v>
      </c>
      <c r="CD1367" s="5" t="s">
        <v>433</v>
      </c>
      <c r="CE1367" t="s">
        <v>86</v>
      </c>
      <c r="CF1367" s="3">
        <v>46002</v>
      </c>
      <c r="CI1367">
        <v>1</v>
      </c>
      <c r="CJ1367">
        <v>1</v>
      </c>
      <c r="CK1367">
        <v>21</v>
      </c>
      <c r="CL1367" t="s">
        <v>87</v>
      </c>
    </row>
    <row r="1368" spans="1:90" x14ac:dyDescent="0.3">
      <c r="A1368" t="s">
        <v>72</v>
      </c>
      <c r="B1368" t="s">
        <v>73</v>
      </c>
      <c r="C1368" t="s">
        <v>74</v>
      </c>
      <c r="E1368" t="str">
        <f>"080069818356"</f>
        <v>080069818356</v>
      </c>
      <c r="F1368" s="3">
        <v>46001</v>
      </c>
      <c r="G1368">
        <v>202609</v>
      </c>
      <c r="H1368" t="s">
        <v>75</v>
      </c>
      <c r="I1368" t="s">
        <v>76</v>
      </c>
      <c r="J1368" t="s">
        <v>77</v>
      </c>
      <c r="K1368" t="s">
        <v>78</v>
      </c>
      <c r="L1368" t="s">
        <v>94</v>
      </c>
      <c r="M1368" t="s">
        <v>95</v>
      </c>
      <c r="N1368" t="s">
        <v>1542</v>
      </c>
      <c r="O1368" t="s">
        <v>89</v>
      </c>
      <c r="P1368" t="str">
        <f>"4170072844                    "</f>
        <v xml:space="preserve">4170072844                    </v>
      </c>
      <c r="Q1368">
        <v>0</v>
      </c>
      <c r="R1368">
        <v>0</v>
      </c>
      <c r="S1368">
        <v>0</v>
      </c>
      <c r="T1368">
        <v>0</v>
      </c>
      <c r="U1368">
        <v>0</v>
      </c>
      <c r="V1368">
        <v>0</v>
      </c>
      <c r="W1368">
        <v>0</v>
      </c>
      <c r="X1368">
        <v>0</v>
      </c>
      <c r="Y1368">
        <v>0</v>
      </c>
      <c r="Z1368">
        <v>0</v>
      </c>
      <c r="AA1368">
        <v>0</v>
      </c>
      <c r="AB1368">
        <v>0</v>
      </c>
      <c r="AC1368">
        <v>0</v>
      </c>
      <c r="AD1368">
        <v>0</v>
      </c>
      <c r="AE1368">
        <v>0</v>
      </c>
      <c r="AF1368">
        <v>0</v>
      </c>
      <c r="AG1368">
        <v>0</v>
      </c>
      <c r="AH1368">
        <v>0</v>
      </c>
      <c r="AI1368">
        <v>0</v>
      </c>
      <c r="AJ1368">
        <v>0</v>
      </c>
      <c r="AK1368">
        <v>0</v>
      </c>
      <c r="AL1368">
        <v>0</v>
      </c>
      <c r="AM1368">
        <v>0</v>
      </c>
      <c r="AN1368">
        <v>0</v>
      </c>
      <c r="AO1368">
        <v>0</v>
      </c>
      <c r="AP1368">
        <v>0</v>
      </c>
      <c r="AQ1368">
        <v>44.66</v>
      </c>
      <c r="AR1368">
        <v>0</v>
      </c>
      <c r="AS1368">
        <v>0</v>
      </c>
      <c r="AT1368">
        <v>0</v>
      </c>
      <c r="AU1368">
        <v>0</v>
      </c>
      <c r="AV1368">
        <v>0</v>
      </c>
      <c r="AW1368">
        <v>0</v>
      </c>
      <c r="AX1368">
        <v>0</v>
      </c>
      <c r="AY1368">
        <v>0</v>
      </c>
      <c r="AZ1368">
        <v>0</v>
      </c>
      <c r="BA1368">
        <v>0</v>
      </c>
      <c r="BB1368">
        <v>0</v>
      </c>
      <c r="BC1368">
        <v>0</v>
      </c>
      <c r="BD1368">
        <v>0</v>
      </c>
      <c r="BE1368">
        <v>0</v>
      </c>
      <c r="BF1368">
        <v>0</v>
      </c>
      <c r="BG1368">
        <v>0</v>
      </c>
      <c r="BH1368">
        <v>1</v>
      </c>
      <c r="BI1368">
        <v>0.5</v>
      </c>
      <c r="BJ1368">
        <v>3.3</v>
      </c>
      <c r="BK1368">
        <v>3.5</v>
      </c>
      <c r="BL1368">
        <v>133.09</v>
      </c>
      <c r="BM1368">
        <v>19.96</v>
      </c>
      <c r="BN1368">
        <v>153.05000000000001</v>
      </c>
      <c r="BO1368">
        <v>153.05000000000001</v>
      </c>
      <c r="BQ1368" t="s">
        <v>1543</v>
      </c>
      <c r="BR1368" t="s">
        <v>82</v>
      </c>
      <c r="BS1368" s="3">
        <v>46002</v>
      </c>
      <c r="BT1368" s="4">
        <v>0.41944444444444445</v>
      </c>
      <c r="BU1368" t="s">
        <v>2061</v>
      </c>
      <c r="BV1368" t="s">
        <v>84</v>
      </c>
      <c r="BY1368">
        <v>16695</v>
      </c>
      <c r="CA1368" t="s">
        <v>929</v>
      </c>
      <c r="CC1368" t="s">
        <v>95</v>
      </c>
      <c r="CD1368">
        <v>3610</v>
      </c>
      <c r="CE1368" t="s">
        <v>134</v>
      </c>
      <c r="CF1368" s="3">
        <v>46002</v>
      </c>
      <c r="CI1368">
        <v>1</v>
      </c>
      <c r="CJ1368">
        <v>1</v>
      </c>
      <c r="CK1368">
        <v>21</v>
      </c>
      <c r="CL1368" t="s">
        <v>87</v>
      </c>
    </row>
    <row r="1369" spans="1:90" x14ac:dyDescent="0.3">
      <c r="A1369" t="s">
        <v>72</v>
      </c>
      <c r="B1369" t="s">
        <v>73</v>
      </c>
      <c r="C1369" t="s">
        <v>74</v>
      </c>
      <c r="E1369" t="str">
        <f>"080069818387"</f>
        <v>080069818387</v>
      </c>
      <c r="F1369" s="3">
        <v>46001</v>
      </c>
      <c r="G1369">
        <v>202609</v>
      </c>
      <c r="H1369" t="s">
        <v>75</v>
      </c>
      <c r="I1369" t="s">
        <v>76</v>
      </c>
      <c r="J1369" t="s">
        <v>77</v>
      </c>
      <c r="K1369" t="s">
        <v>78</v>
      </c>
      <c r="L1369" t="s">
        <v>94</v>
      </c>
      <c r="M1369" t="s">
        <v>95</v>
      </c>
      <c r="N1369" t="s">
        <v>936</v>
      </c>
      <c r="O1369" t="s">
        <v>89</v>
      </c>
      <c r="P1369" t="str">
        <f>"4170072866                    "</f>
        <v xml:space="preserve">4170072866                    </v>
      </c>
      <c r="Q1369">
        <v>0</v>
      </c>
      <c r="R1369">
        <v>0</v>
      </c>
      <c r="S1369">
        <v>0</v>
      </c>
      <c r="T1369">
        <v>0</v>
      </c>
      <c r="U1369">
        <v>0</v>
      </c>
      <c r="V1369">
        <v>0</v>
      </c>
      <c r="W1369">
        <v>0</v>
      </c>
      <c r="X1369">
        <v>0</v>
      </c>
      <c r="Y1369">
        <v>0</v>
      </c>
      <c r="Z1369">
        <v>0</v>
      </c>
      <c r="AA1369">
        <v>0</v>
      </c>
      <c r="AB1369">
        <v>0</v>
      </c>
      <c r="AC1369">
        <v>0</v>
      </c>
      <c r="AD1369">
        <v>0</v>
      </c>
      <c r="AE1369">
        <v>0</v>
      </c>
      <c r="AF1369">
        <v>0</v>
      </c>
      <c r="AG1369">
        <v>0</v>
      </c>
      <c r="AH1369">
        <v>0</v>
      </c>
      <c r="AI1369">
        <v>0</v>
      </c>
      <c r="AJ1369">
        <v>0</v>
      </c>
      <c r="AK1369">
        <v>0</v>
      </c>
      <c r="AL1369">
        <v>0</v>
      </c>
      <c r="AM1369">
        <v>0</v>
      </c>
      <c r="AN1369">
        <v>0</v>
      </c>
      <c r="AO1369">
        <v>0</v>
      </c>
      <c r="AP1369">
        <v>0</v>
      </c>
      <c r="AQ1369">
        <v>25.52</v>
      </c>
      <c r="AR1369">
        <v>0</v>
      </c>
      <c r="AS1369">
        <v>0</v>
      </c>
      <c r="AT1369">
        <v>0</v>
      </c>
      <c r="AU1369">
        <v>0</v>
      </c>
      <c r="AV1369">
        <v>0</v>
      </c>
      <c r="AW1369">
        <v>0</v>
      </c>
      <c r="AX1369">
        <v>0</v>
      </c>
      <c r="AY1369">
        <v>0</v>
      </c>
      <c r="AZ1369">
        <v>0</v>
      </c>
      <c r="BA1369">
        <v>0</v>
      </c>
      <c r="BB1369">
        <v>0</v>
      </c>
      <c r="BC1369">
        <v>0</v>
      </c>
      <c r="BD1369">
        <v>0</v>
      </c>
      <c r="BE1369">
        <v>0</v>
      </c>
      <c r="BF1369">
        <v>0</v>
      </c>
      <c r="BG1369">
        <v>0</v>
      </c>
      <c r="BH1369">
        <v>1</v>
      </c>
      <c r="BI1369">
        <v>0.7</v>
      </c>
      <c r="BJ1369">
        <v>0.9</v>
      </c>
      <c r="BK1369">
        <v>1</v>
      </c>
      <c r="BL1369">
        <v>76.06</v>
      </c>
      <c r="BM1369">
        <v>11.41</v>
      </c>
      <c r="BN1369">
        <v>87.47</v>
      </c>
      <c r="BO1369">
        <v>87.47</v>
      </c>
      <c r="BQ1369" t="s">
        <v>937</v>
      </c>
      <c r="BR1369" t="s">
        <v>82</v>
      </c>
      <c r="BS1369" s="3">
        <v>46002</v>
      </c>
      <c r="BT1369" s="4">
        <v>0.4152777777777778</v>
      </c>
      <c r="BU1369" t="s">
        <v>1910</v>
      </c>
      <c r="BV1369" t="s">
        <v>84</v>
      </c>
      <c r="BY1369">
        <v>4643.3999999999996</v>
      </c>
      <c r="CA1369" t="s">
        <v>929</v>
      </c>
      <c r="CC1369" t="s">
        <v>95</v>
      </c>
      <c r="CD1369">
        <v>3610</v>
      </c>
      <c r="CE1369" t="s">
        <v>134</v>
      </c>
      <c r="CF1369" s="3">
        <v>46002</v>
      </c>
      <c r="CI1369">
        <v>1</v>
      </c>
      <c r="CJ1369">
        <v>1</v>
      </c>
      <c r="CK1369">
        <v>21</v>
      </c>
      <c r="CL1369" t="s">
        <v>87</v>
      </c>
    </row>
    <row r="1370" spans="1:90" x14ac:dyDescent="0.3">
      <c r="A1370" t="s">
        <v>72</v>
      </c>
      <c r="B1370" t="s">
        <v>73</v>
      </c>
      <c r="C1370" t="s">
        <v>74</v>
      </c>
      <c r="E1370" t="str">
        <f>"080069818396"</f>
        <v>080069818396</v>
      </c>
      <c r="F1370" s="3">
        <v>46001</v>
      </c>
      <c r="G1370">
        <v>202609</v>
      </c>
      <c r="H1370" t="s">
        <v>75</v>
      </c>
      <c r="I1370" t="s">
        <v>76</v>
      </c>
      <c r="J1370" t="s">
        <v>77</v>
      </c>
      <c r="K1370" t="s">
        <v>78</v>
      </c>
      <c r="L1370" t="s">
        <v>283</v>
      </c>
      <c r="M1370" t="s">
        <v>284</v>
      </c>
      <c r="N1370" t="s">
        <v>285</v>
      </c>
      <c r="O1370" t="s">
        <v>89</v>
      </c>
      <c r="P1370" t="str">
        <f>"4170072812                    "</f>
        <v xml:space="preserve">4170072812                    </v>
      </c>
      <c r="Q1370">
        <v>0</v>
      </c>
      <c r="R1370">
        <v>0</v>
      </c>
      <c r="S1370">
        <v>0</v>
      </c>
      <c r="T1370">
        <v>0</v>
      </c>
      <c r="U1370">
        <v>0</v>
      </c>
      <c r="V1370">
        <v>0</v>
      </c>
      <c r="W1370">
        <v>0</v>
      </c>
      <c r="X1370">
        <v>0</v>
      </c>
      <c r="Y1370">
        <v>0</v>
      </c>
      <c r="Z1370">
        <v>0</v>
      </c>
      <c r="AA1370">
        <v>0</v>
      </c>
      <c r="AB1370">
        <v>0</v>
      </c>
      <c r="AC1370">
        <v>0</v>
      </c>
      <c r="AD1370">
        <v>0</v>
      </c>
      <c r="AE1370">
        <v>0</v>
      </c>
      <c r="AF1370">
        <v>0</v>
      </c>
      <c r="AG1370">
        <v>0</v>
      </c>
      <c r="AH1370">
        <v>0</v>
      </c>
      <c r="AI1370">
        <v>0</v>
      </c>
      <c r="AJ1370">
        <v>0</v>
      </c>
      <c r="AK1370">
        <v>0</v>
      </c>
      <c r="AL1370">
        <v>0</v>
      </c>
      <c r="AM1370">
        <v>0</v>
      </c>
      <c r="AN1370">
        <v>0</v>
      </c>
      <c r="AO1370">
        <v>0</v>
      </c>
      <c r="AP1370">
        <v>0</v>
      </c>
      <c r="AQ1370">
        <v>49.45</v>
      </c>
      <c r="AR1370">
        <v>0</v>
      </c>
      <c r="AS1370">
        <v>0</v>
      </c>
      <c r="AT1370">
        <v>0</v>
      </c>
      <c r="AU1370">
        <v>0</v>
      </c>
      <c r="AV1370">
        <v>0</v>
      </c>
      <c r="AW1370">
        <v>0</v>
      </c>
      <c r="AX1370">
        <v>0</v>
      </c>
      <c r="AY1370">
        <v>0</v>
      </c>
      <c r="AZ1370">
        <v>0</v>
      </c>
      <c r="BA1370">
        <v>0</v>
      </c>
      <c r="BB1370">
        <v>0</v>
      </c>
      <c r="BC1370">
        <v>0</v>
      </c>
      <c r="BD1370">
        <v>0</v>
      </c>
      <c r="BE1370">
        <v>0</v>
      </c>
      <c r="BF1370">
        <v>0</v>
      </c>
      <c r="BG1370">
        <v>0</v>
      </c>
      <c r="BH1370">
        <v>1</v>
      </c>
      <c r="BI1370">
        <v>1.3</v>
      </c>
      <c r="BJ1370">
        <v>1</v>
      </c>
      <c r="BK1370">
        <v>1.5</v>
      </c>
      <c r="BL1370">
        <v>147.38</v>
      </c>
      <c r="BM1370">
        <v>22.11</v>
      </c>
      <c r="BN1370">
        <v>169.49</v>
      </c>
      <c r="BO1370">
        <v>169.49</v>
      </c>
      <c r="BQ1370" t="s">
        <v>286</v>
      </c>
      <c r="BR1370" t="s">
        <v>82</v>
      </c>
      <c r="BS1370" s="3">
        <v>46002</v>
      </c>
      <c r="BT1370" s="4">
        <v>0.35208333333333336</v>
      </c>
      <c r="BU1370" t="s">
        <v>287</v>
      </c>
      <c r="BV1370" t="s">
        <v>84</v>
      </c>
      <c r="BY1370">
        <v>4833.13</v>
      </c>
      <c r="CA1370">
        <v>6805135560080</v>
      </c>
      <c r="CC1370" t="s">
        <v>284</v>
      </c>
      <c r="CD1370">
        <v>1947</v>
      </c>
      <c r="CE1370" t="s">
        <v>86</v>
      </c>
      <c r="CI1370">
        <v>1</v>
      </c>
      <c r="CJ1370">
        <v>1</v>
      </c>
      <c r="CK1370">
        <v>23</v>
      </c>
      <c r="CL1370" t="s">
        <v>87</v>
      </c>
    </row>
    <row r="1371" spans="1:90" x14ac:dyDescent="0.3">
      <c r="A1371" t="s">
        <v>72</v>
      </c>
      <c r="B1371" t="s">
        <v>73</v>
      </c>
      <c r="C1371" t="s">
        <v>74</v>
      </c>
      <c r="E1371" t="str">
        <f>"080069818437"</f>
        <v>080069818437</v>
      </c>
      <c r="F1371" s="3">
        <v>46001</v>
      </c>
      <c r="G1371">
        <v>202609</v>
      </c>
      <c r="H1371" t="s">
        <v>75</v>
      </c>
      <c r="I1371" t="s">
        <v>76</v>
      </c>
      <c r="J1371" t="s">
        <v>77</v>
      </c>
      <c r="K1371" t="s">
        <v>78</v>
      </c>
      <c r="L1371" t="s">
        <v>176</v>
      </c>
      <c r="M1371" t="s">
        <v>177</v>
      </c>
      <c r="N1371" t="s">
        <v>2062</v>
      </c>
      <c r="O1371" t="s">
        <v>89</v>
      </c>
      <c r="P1371" t="str">
        <f>"4170072815                    "</f>
        <v xml:space="preserve">4170072815                    </v>
      </c>
      <c r="Q1371">
        <v>0</v>
      </c>
      <c r="R1371">
        <v>0</v>
      </c>
      <c r="S1371">
        <v>0</v>
      </c>
      <c r="T1371">
        <v>0</v>
      </c>
      <c r="U1371">
        <v>0</v>
      </c>
      <c r="V1371">
        <v>0</v>
      </c>
      <c r="W1371">
        <v>0</v>
      </c>
      <c r="X1371">
        <v>0</v>
      </c>
      <c r="Y1371">
        <v>0</v>
      </c>
      <c r="Z1371">
        <v>0</v>
      </c>
      <c r="AA1371">
        <v>0</v>
      </c>
      <c r="AB1371">
        <v>0</v>
      </c>
      <c r="AC1371">
        <v>0</v>
      </c>
      <c r="AD1371">
        <v>0</v>
      </c>
      <c r="AE1371">
        <v>0</v>
      </c>
      <c r="AF1371">
        <v>0</v>
      </c>
      <c r="AG1371">
        <v>0</v>
      </c>
      <c r="AH1371">
        <v>0</v>
      </c>
      <c r="AI1371">
        <v>0</v>
      </c>
      <c r="AJ1371">
        <v>0</v>
      </c>
      <c r="AK1371">
        <v>0</v>
      </c>
      <c r="AL1371">
        <v>0</v>
      </c>
      <c r="AM1371">
        <v>0</v>
      </c>
      <c r="AN1371">
        <v>0</v>
      </c>
      <c r="AO1371">
        <v>0</v>
      </c>
      <c r="AP1371">
        <v>0</v>
      </c>
      <c r="AQ1371">
        <v>19.940000000000001</v>
      </c>
      <c r="AR1371">
        <v>0</v>
      </c>
      <c r="AS1371">
        <v>0</v>
      </c>
      <c r="AT1371">
        <v>0</v>
      </c>
      <c r="AU1371">
        <v>0</v>
      </c>
      <c r="AV1371">
        <v>0</v>
      </c>
      <c r="AW1371">
        <v>0</v>
      </c>
      <c r="AX1371">
        <v>0</v>
      </c>
      <c r="AY1371">
        <v>0</v>
      </c>
      <c r="AZ1371">
        <v>0</v>
      </c>
      <c r="BA1371">
        <v>0</v>
      </c>
      <c r="BB1371">
        <v>0</v>
      </c>
      <c r="BC1371">
        <v>0</v>
      </c>
      <c r="BD1371">
        <v>0</v>
      </c>
      <c r="BE1371">
        <v>0</v>
      </c>
      <c r="BF1371">
        <v>0</v>
      </c>
      <c r="BG1371">
        <v>0</v>
      </c>
      <c r="BH1371">
        <v>1</v>
      </c>
      <c r="BI1371">
        <v>1</v>
      </c>
      <c r="BJ1371">
        <v>0.2</v>
      </c>
      <c r="BK1371">
        <v>1</v>
      </c>
      <c r="BL1371">
        <v>59.42</v>
      </c>
      <c r="BM1371">
        <v>8.91</v>
      </c>
      <c r="BN1371">
        <v>68.33</v>
      </c>
      <c r="BO1371">
        <v>68.33</v>
      </c>
      <c r="BQ1371" t="s">
        <v>2063</v>
      </c>
      <c r="BR1371" t="s">
        <v>82</v>
      </c>
      <c r="BS1371" s="3">
        <v>46002</v>
      </c>
      <c r="BT1371" s="4">
        <v>0.4375</v>
      </c>
      <c r="BU1371" t="s">
        <v>2064</v>
      </c>
      <c r="BV1371" t="s">
        <v>84</v>
      </c>
      <c r="BY1371">
        <v>1200</v>
      </c>
      <c r="CA1371" t="s">
        <v>2065</v>
      </c>
      <c r="CC1371" t="s">
        <v>177</v>
      </c>
      <c r="CD1371">
        <v>2042</v>
      </c>
      <c r="CE1371" t="s">
        <v>134</v>
      </c>
      <c r="CI1371">
        <v>1</v>
      </c>
      <c r="CJ1371">
        <v>1</v>
      </c>
      <c r="CK1371">
        <v>22</v>
      </c>
      <c r="CL1371" t="s">
        <v>87</v>
      </c>
    </row>
    <row r="1372" spans="1:90" x14ac:dyDescent="0.3">
      <c r="A1372" t="s">
        <v>72</v>
      </c>
      <c r="B1372" t="s">
        <v>73</v>
      </c>
      <c r="C1372" t="s">
        <v>74</v>
      </c>
      <c r="E1372" t="str">
        <f>"080069818458"</f>
        <v>080069818458</v>
      </c>
      <c r="F1372" s="3">
        <v>46001</v>
      </c>
      <c r="G1372">
        <v>202609</v>
      </c>
      <c r="H1372" t="s">
        <v>75</v>
      </c>
      <c r="I1372" t="s">
        <v>76</v>
      </c>
      <c r="J1372" t="s">
        <v>77</v>
      </c>
      <c r="K1372" t="s">
        <v>78</v>
      </c>
      <c r="L1372" t="s">
        <v>141</v>
      </c>
      <c r="M1372" t="s">
        <v>142</v>
      </c>
      <c r="N1372" t="s">
        <v>2066</v>
      </c>
      <c r="O1372" t="s">
        <v>89</v>
      </c>
      <c r="P1372" t="str">
        <f>"4170072795                    "</f>
        <v xml:space="preserve">4170072795                    </v>
      </c>
      <c r="Q1372">
        <v>0</v>
      </c>
      <c r="R1372">
        <v>0</v>
      </c>
      <c r="S1372">
        <v>0</v>
      </c>
      <c r="T1372">
        <v>0</v>
      </c>
      <c r="U1372">
        <v>0</v>
      </c>
      <c r="V1372">
        <v>0</v>
      </c>
      <c r="W1372">
        <v>0</v>
      </c>
      <c r="X1372">
        <v>0</v>
      </c>
      <c r="Y1372">
        <v>0</v>
      </c>
      <c r="Z1372">
        <v>0</v>
      </c>
      <c r="AA1372">
        <v>0</v>
      </c>
      <c r="AB1372">
        <v>0</v>
      </c>
      <c r="AC1372">
        <v>0</v>
      </c>
      <c r="AD1372">
        <v>0</v>
      </c>
      <c r="AE1372">
        <v>0</v>
      </c>
      <c r="AF1372">
        <v>0</v>
      </c>
      <c r="AG1372">
        <v>0</v>
      </c>
      <c r="AH1372">
        <v>0</v>
      </c>
      <c r="AI1372">
        <v>0</v>
      </c>
      <c r="AJ1372">
        <v>0</v>
      </c>
      <c r="AK1372">
        <v>0</v>
      </c>
      <c r="AL1372">
        <v>0</v>
      </c>
      <c r="AM1372">
        <v>0</v>
      </c>
      <c r="AN1372">
        <v>0</v>
      </c>
      <c r="AO1372">
        <v>0</v>
      </c>
      <c r="AP1372">
        <v>0</v>
      </c>
      <c r="AQ1372">
        <v>89.3</v>
      </c>
      <c r="AR1372">
        <v>0</v>
      </c>
      <c r="AS1372">
        <v>0</v>
      </c>
      <c r="AT1372">
        <v>0</v>
      </c>
      <c r="AU1372">
        <v>0</v>
      </c>
      <c r="AV1372">
        <v>0</v>
      </c>
      <c r="AW1372">
        <v>0</v>
      </c>
      <c r="AX1372">
        <v>0</v>
      </c>
      <c r="AY1372">
        <v>0</v>
      </c>
      <c r="AZ1372">
        <v>0</v>
      </c>
      <c r="BA1372">
        <v>0</v>
      </c>
      <c r="BB1372">
        <v>0</v>
      </c>
      <c r="BC1372">
        <v>0</v>
      </c>
      <c r="BD1372">
        <v>0</v>
      </c>
      <c r="BE1372">
        <v>0</v>
      </c>
      <c r="BF1372">
        <v>0</v>
      </c>
      <c r="BG1372">
        <v>0</v>
      </c>
      <c r="BH1372">
        <v>1</v>
      </c>
      <c r="BI1372">
        <v>6.8</v>
      </c>
      <c r="BJ1372">
        <v>1.9</v>
      </c>
      <c r="BK1372">
        <v>7</v>
      </c>
      <c r="BL1372">
        <v>266.14</v>
      </c>
      <c r="BM1372">
        <v>39.92</v>
      </c>
      <c r="BN1372">
        <v>306.06</v>
      </c>
      <c r="BO1372">
        <v>306.06</v>
      </c>
      <c r="BQ1372" t="s">
        <v>2067</v>
      </c>
      <c r="BR1372" t="s">
        <v>82</v>
      </c>
      <c r="BS1372" s="3">
        <v>46002</v>
      </c>
      <c r="BT1372" s="4">
        <v>0.41944444444444445</v>
      </c>
      <c r="BU1372" t="s">
        <v>2068</v>
      </c>
      <c r="BV1372" t="s">
        <v>84</v>
      </c>
      <c r="BY1372">
        <v>9450</v>
      </c>
      <c r="CA1372" t="s">
        <v>489</v>
      </c>
      <c r="CC1372" t="s">
        <v>142</v>
      </c>
      <c r="CD1372">
        <v>6001</v>
      </c>
      <c r="CE1372" t="s">
        <v>86</v>
      </c>
      <c r="CF1372" s="3">
        <v>46002</v>
      </c>
      <c r="CI1372">
        <v>1</v>
      </c>
      <c r="CJ1372">
        <v>1</v>
      </c>
      <c r="CK1372">
        <v>21</v>
      </c>
      <c r="CL1372" t="s">
        <v>87</v>
      </c>
    </row>
    <row r="1373" spans="1:90" x14ac:dyDescent="0.3">
      <c r="A1373" t="s">
        <v>72</v>
      </c>
      <c r="B1373" t="s">
        <v>73</v>
      </c>
      <c r="C1373" t="s">
        <v>74</v>
      </c>
      <c r="E1373" t="str">
        <f>"080069818465"</f>
        <v>080069818465</v>
      </c>
      <c r="F1373" s="3">
        <v>46001</v>
      </c>
      <c r="G1373">
        <v>202609</v>
      </c>
      <c r="H1373" t="s">
        <v>75</v>
      </c>
      <c r="I1373" t="s">
        <v>76</v>
      </c>
      <c r="J1373" t="s">
        <v>77</v>
      </c>
      <c r="K1373" t="s">
        <v>78</v>
      </c>
      <c r="L1373" t="s">
        <v>332</v>
      </c>
      <c r="M1373" t="s">
        <v>333</v>
      </c>
      <c r="N1373" t="s">
        <v>334</v>
      </c>
      <c r="O1373" t="s">
        <v>89</v>
      </c>
      <c r="P1373" t="str">
        <f>"4170072848                    "</f>
        <v xml:space="preserve">4170072848                    </v>
      </c>
      <c r="Q1373">
        <v>0</v>
      </c>
      <c r="R1373">
        <v>0</v>
      </c>
      <c r="S1373">
        <v>0</v>
      </c>
      <c r="T1373">
        <v>0</v>
      </c>
      <c r="U1373">
        <v>0</v>
      </c>
      <c r="V1373">
        <v>0</v>
      </c>
      <c r="W1373">
        <v>0</v>
      </c>
      <c r="X1373">
        <v>0</v>
      </c>
      <c r="Y1373">
        <v>0</v>
      </c>
      <c r="Z1373">
        <v>0</v>
      </c>
      <c r="AA1373">
        <v>0</v>
      </c>
      <c r="AB1373">
        <v>0</v>
      </c>
      <c r="AC1373">
        <v>0</v>
      </c>
      <c r="AD1373">
        <v>0</v>
      </c>
      <c r="AE1373">
        <v>0</v>
      </c>
      <c r="AF1373">
        <v>0</v>
      </c>
      <c r="AG1373">
        <v>0</v>
      </c>
      <c r="AH1373">
        <v>0</v>
      </c>
      <c r="AI1373">
        <v>0</v>
      </c>
      <c r="AJ1373">
        <v>0</v>
      </c>
      <c r="AK1373">
        <v>0</v>
      </c>
      <c r="AL1373">
        <v>0</v>
      </c>
      <c r="AM1373">
        <v>0</v>
      </c>
      <c r="AN1373">
        <v>0</v>
      </c>
      <c r="AO1373">
        <v>0</v>
      </c>
      <c r="AP1373">
        <v>0</v>
      </c>
      <c r="AQ1373">
        <v>82.95</v>
      </c>
      <c r="AR1373">
        <v>0</v>
      </c>
      <c r="AS1373">
        <v>0</v>
      </c>
      <c r="AT1373">
        <v>0</v>
      </c>
      <c r="AU1373">
        <v>0</v>
      </c>
      <c r="AV1373">
        <v>0</v>
      </c>
      <c r="AW1373">
        <v>0</v>
      </c>
      <c r="AX1373">
        <v>0</v>
      </c>
      <c r="AY1373">
        <v>0</v>
      </c>
      <c r="AZ1373">
        <v>0</v>
      </c>
      <c r="BA1373">
        <v>0</v>
      </c>
      <c r="BB1373">
        <v>0</v>
      </c>
      <c r="BC1373">
        <v>0</v>
      </c>
      <c r="BD1373">
        <v>0</v>
      </c>
      <c r="BE1373">
        <v>0</v>
      </c>
      <c r="BF1373">
        <v>0</v>
      </c>
      <c r="BG1373">
        <v>0</v>
      </c>
      <c r="BH1373">
        <v>1</v>
      </c>
      <c r="BI1373">
        <v>0.2</v>
      </c>
      <c r="BJ1373">
        <v>3.4</v>
      </c>
      <c r="BK1373">
        <v>3.5</v>
      </c>
      <c r="BL1373">
        <v>247.21</v>
      </c>
      <c r="BM1373">
        <v>37.08</v>
      </c>
      <c r="BN1373">
        <v>284.29000000000002</v>
      </c>
      <c r="BO1373">
        <v>284.29000000000002</v>
      </c>
      <c r="BQ1373" t="s">
        <v>335</v>
      </c>
      <c r="BR1373" t="s">
        <v>82</v>
      </c>
      <c r="BS1373" s="3">
        <v>46002</v>
      </c>
      <c r="BT1373" s="4">
        <v>0.60555555555555551</v>
      </c>
      <c r="BU1373" t="s">
        <v>336</v>
      </c>
      <c r="BV1373" t="s">
        <v>84</v>
      </c>
      <c r="BY1373">
        <v>16907.310000000001</v>
      </c>
      <c r="CC1373" t="s">
        <v>333</v>
      </c>
      <c r="CD1373">
        <v>6500</v>
      </c>
      <c r="CE1373" t="s">
        <v>134</v>
      </c>
      <c r="CF1373" s="3">
        <v>46003</v>
      </c>
      <c r="CI1373">
        <v>1</v>
      </c>
      <c r="CJ1373">
        <v>1</v>
      </c>
      <c r="CK1373">
        <v>23</v>
      </c>
      <c r="CL1373" t="s">
        <v>87</v>
      </c>
    </row>
    <row r="1374" spans="1:90" x14ac:dyDescent="0.3">
      <c r="A1374" t="s">
        <v>72</v>
      </c>
      <c r="B1374" t="s">
        <v>73</v>
      </c>
      <c r="C1374" t="s">
        <v>74</v>
      </c>
      <c r="E1374" t="str">
        <f>"080069818496"</f>
        <v>080069818496</v>
      </c>
      <c r="F1374" s="3">
        <v>46001</v>
      </c>
      <c r="G1374">
        <v>202609</v>
      </c>
      <c r="H1374" t="s">
        <v>75</v>
      </c>
      <c r="I1374" t="s">
        <v>76</v>
      </c>
      <c r="J1374" t="s">
        <v>77</v>
      </c>
      <c r="K1374" t="s">
        <v>78</v>
      </c>
      <c r="L1374" t="s">
        <v>515</v>
      </c>
      <c r="M1374" t="s">
        <v>516</v>
      </c>
      <c r="N1374" t="s">
        <v>517</v>
      </c>
      <c r="O1374" t="s">
        <v>89</v>
      </c>
      <c r="P1374" t="str">
        <f>"4170072823                    "</f>
        <v xml:space="preserve">4170072823                    </v>
      </c>
      <c r="Q1374">
        <v>0</v>
      </c>
      <c r="R1374">
        <v>0</v>
      </c>
      <c r="S1374">
        <v>0</v>
      </c>
      <c r="T1374">
        <v>0</v>
      </c>
      <c r="U1374">
        <v>0</v>
      </c>
      <c r="V1374">
        <v>0</v>
      </c>
      <c r="W1374">
        <v>0</v>
      </c>
      <c r="X1374">
        <v>0</v>
      </c>
      <c r="Y1374">
        <v>0</v>
      </c>
      <c r="Z1374">
        <v>0</v>
      </c>
      <c r="AA1374">
        <v>0</v>
      </c>
      <c r="AB1374">
        <v>0</v>
      </c>
      <c r="AC1374">
        <v>0</v>
      </c>
      <c r="AD1374">
        <v>0</v>
      </c>
      <c r="AE1374">
        <v>0</v>
      </c>
      <c r="AF1374">
        <v>0</v>
      </c>
      <c r="AG1374">
        <v>0</v>
      </c>
      <c r="AH1374">
        <v>0</v>
      </c>
      <c r="AI1374">
        <v>0</v>
      </c>
      <c r="AJ1374">
        <v>0</v>
      </c>
      <c r="AK1374">
        <v>0</v>
      </c>
      <c r="AL1374">
        <v>0</v>
      </c>
      <c r="AM1374">
        <v>0</v>
      </c>
      <c r="AN1374">
        <v>0</v>
      </c>
      <c r="AO1374">
        <v>0</v>
      </c>
      <c r="AP1374">
        <v>0</v>
      </c>
      <c r="AQ1374">
        <v>60.62</v>
      </c>
      <c r="AR1374">
        <v>0</v>
      </c>
      <c r="AS1374">
        <v>0</v>
      </c>
      <c r="AT1374">
        <v>0</v>
      </c>
      <c r="AU1374">
        <v>0</v>
      </c>
      <c r="AV1374">
        <v>0</v>
      </c>
      <c r="AW1374">
        <v>0</v>
      </c>
      <c r="AX1374">
        <v>0</v>
      </c>
      <c r="AY1374">
        <v>0</v>
      </c>
      <c r="AZ1374">
        <v>0</v>
      </c>
      <c r="BA1374">
        <v>0</v>
      </c>
      <c r="BB1374">
        <v>0</v>
      </c>
      <c r="BC1374">
        <v>0</v>
      </c>
      <c r="BD1374">
        <v>0</v>
      </c>
      <c r="BE1374">
        <v>0</v>
      </c>
      <c r="BF1374">
        <v>0</v>
      </c>
      <c r="BG1374">
        <v>0</v>
      </c>
      <c r="BH1374">
        <v>1</v>
      </c>
      <c r="BI1374">
        <v>2.4</v>
      </c>
      <c r="BJ1374">
        <v>1.7</v>
      </c>
      <c r="BK1374">
        <v>2.5</v>
      </c>
      <c r="BL1374">
        <v>180.66</v>
      </c>
      <c r="BM1374">
        <v>27.1</v>
      </c>
      <c r="BN1374">
        <v>207.76</v>
      </c>
      <c r="BO1374">
        <v>207.76</v>
      </c>
      <c r="BQ1374" t="s">
        <v>518</v>
      </c>
      <c r="BR1374" t="s">
        <v>82</v>
      </c>
      <c r="BS1374" s="3">
        <v>46002</v>
      </c>
      <c r="BT1374" s="4">
        <v>0.66180555555555554</v>
      </c>
      <c r="BU1374" t="s">
        <v>2069</v>
      </c>
      <c r="BV1374" t="s">
        <v>84</v>
      </c>
      <c r="BY1374">
        <v>8392.32</v>
      </c>
      <c r="CA1374" t="s">
        <v>146</v>
      </c>
      <c r="CC1374" t="s">
        <v>516</v>
      </c>
      <c r="CD1374">
        <v>6300</v>
      </c>
      <c r="CE1374" t="s">
        <v>86</v>
      </c>
      <c r="CI1374">
        <v>2</v>
      </c>
      <c r="CJ1374">
        <v>1</v>
      </c>
      <c r="CK1374">
        <v>23</v>
      </c>
      <c r="CL1374" t="s">
        <v>87</v>
      </c>
    </row>
    <row r="1375" spans="1:90" x14ac:dyDescent="0.3">
      <c r="A1375" t="s">
        <v>72</v>
      </c>
      <c r="B1375" t="s">
        <v>73</v>
      </c>
      <c r="C1375" t="s">
        <v>74</v>
      </c>
      <c r="E1375" t="str">
        <f>"080069818498"</f>
        <v>080069818498</v>
      </c>
      <c r="F1375" s="3">
        <v>46001</v>
      </c>
      <c r="G1375">
        <v>202609</v>
      </c>
      <c r="H1375" t="s">
        <v>75</v>
      </c>
      <c r="I1375" t="s">
        <v>76</v>
      </c>
      <c r="J1375" t="s">
        <v>77</v>
      </c>
      <c r="K1375" t="s">
        <v>78</v>
      </c>
      <c r="L1375" t="s">
        <v>141</v>
      </c>
      <c r="M1375" t="s">
        <v>142</v>
      </c>
      <c r="N1375" t="s">
        <v>568</v>
      </c>
      <c r="O1375" t="s">
        <v>89</v>
      </c>
      <c r="P1375" t="str">
        <f>"4170072862                    "</f>
        <v xml:space="preserve">4170072862                    </v>
      </c>
      <c r="Q1375">
        <v>0</v>
      </c>
      <c r="R1375">
        <v>0</v>
      </c>
      <c r="S1375">
        <v>0</v>
      </c>
      <c r="T1375">
        <v>0</v>
      </c>
      <c r="U1375">
        <v>0</v>
      </c>
      <c r="V1375">
        <v>0</v>
      </c>
      <c r="W1375">
        <v>0</v>
      </c>
      <c r="X1375">
        <v>0</v>
      </c>
      <c r="Y1375">
        <v>0</v>
      </c>
      <c r="Z1375">
        <v>0</v>
      </c>
      <c r="AA1375">
        <v>0</v>
      </c>
      <c r="AB1375">
        <v>0</v>
      </c>
      <c r="AC1375">
        <v>0</v>
      </c>
      <c r="AD1375">
        <v>0</v>
      </c>
      <c r="AE1375">
        <v>0</v>
      </c>
      <c r="AF1375">
        <v>0</v>
      </c>
      <c r="AG1375">
        <v>0</v>
      </c>
      <c r="AH1375">
        <v>0</v>
      </c>
      <c r="AI1375">
        <v>0</v>
      </c>
      <c r="AJ1375">
        <v>0</v>
      </c>
      <c r="AK1375">
        <v>0</v>
      </c>
      <c r="AL1375">
        <v>0</v>
      </c>
      <c r="AM1375">
        <v>0</v>
      </c>
      <c r="AN1375">
        <v>0</v>
      </c>
      <c r="AO1375">
        <v>0</v>
      </c>
      <c r="AP1375">
        <v>0</v>
      </c>
      <c r="AQ1375">
        <v>25.52</v>
      </c>
      <c r="AR1375">
        <v>0</v>
      </c>
      <c r="AS1375">
        <v>0</v>
      </c>
      <c r="AT1375">
        <v>0</v>
      </c>
      <c r="AU1375">
        <v>0</v>
      </c>
      <c r="AV1375">
        <v>0</v>
      </c>
      <c r="AW1375">
        <v>0</v>
      </c>
      <c r="AX1375">
        <v>0</v>
      </c>
      <c r="AY1375">
        <v>0</v>
      </c>
      <c r="AZ1375">
        <v>0</v>
      </c>
      <c r="BA1375">
        <v>0</v>
      </c>
      <c r="BB1375">
        <v>0</v>
      </c>
      <c r="BC1375">
        <v>0</v>
      </c>
      <c r="BD1375">
        <v>0</v>
      </c>
      <c r="BE1375">
        <v>0</v>
      </c>
      <c r="BF1375">
        <v>0</v>
      </c>
      <c r="BG1375">
        <v>0</v>
      </c>
      <c r="BH1375">
        <v>1</v>
      </c>
      <c r="BI1375">
        <v>0.2</v>
      </c>
      <c r="BJ1375">
        <v>0.9</v>
      </c>
      <c r="BK1375">
        <v>1</v>
      </c>
      <c r="BL1375">
        <v>76.06</v>
      </c>
      <c r="BM1375">
        <v>11.41</v>
      </c>
      <c r="BN1375">
        <v>87.47</v>
      </c>
      <c r="BO1375">
        <v>87.47</v>
      </c>
      <c r="BQ1375" t="s">
        <v>569</v>
      </c>
      <c r="BR1375" t="s">
        <v>82</v>
      </c>
      <c r="BS1375" s="3">
        <v>46002</v>
      </c>
      <c r="BT1375" s="4">
        <v>0.45347222222222222</v>
      </c>
      <c r="BU1375" t="s">
        <v>1172</v>
      </c>
      <c r="BV1375" t="s">
        <v>87</v>
      </c>
      <c r="BW1375" t="s">
        <v>246</v>
      </c>
      <c r="BX1375" t="s">
        <v>1574</v>
      </c>
      <c r="BY1375">
        <v>4743.75</v>
      </c>
      <c r="CA1375" t="s">
        <v>571</v>
      </c>
      <c r="CC1375" t="s">
        <v>142</v>
      </c>
      <c r="CD1375">
        <v>6056</v>
      </c>
      <c r="CE1375" t="s">
        <v>134</v>
      </c>
      <c r="CF1375" s="3">
        <v>46002</v>
      </c>
      <c r="CI1375">
        <v>1</v>
      </c>
      <c r="CJ1375">
        <v>1</v>
      </c>
      <c r="CK1375">
        <v>21</v>
      </c>
      <c r="CL1375" t="s">
        <v>87</v>
      </c>
    </row>
    <row r="1376" spans="1:90" x14ac:dyDescent="0.3">
      <c r="A1376" t="s">
        <v>72</v>
      </c>
      <c r="B1376" t="s">
        <v>73</v>
      </c>
      <c r="C1376" t="s">
        <v>74</v>
      </c>
      <c r="E1376" t="str">
        <f>"080069818540"</f>
        <v>080069818540</v>
      </c>
      <c r="F1376" s="3">
        <v>46001</v>
      </c>
      <c r="G1376">
        <v>202609</v>
      </c>
      <c r="H1376" t="s">
        <v>75</v>
      </c>
      <c r="I1376" t="s">
        <v>76</v>
      </c>
      <c r="J1376" t="s">
        <v>77</v>
      </c>
      <c r="K1376" t="s">
        <v>78</v>
      </c>
      <c r="L1376" t="s">
        <v>528</v>
      </c>
      <c r="M1376" t="s">
        <v>529</v>
      </c>
      <c r="N1376" t="s">
        <v>530</v>
      </c>
      <c r="O1376" t="s">
        <v>89</v>
      </c>
      <c r="P1376" t="str">
        <f>"4170072777                    "</f>
        <v xml:space="preserve">4170072777                    </v>
      </c>
      <c r="Q1376">
        <v>0</v>
      </c>
      <c r="R1376">
        <v>0</v>
      </c>
      <c r="S1376">
        <v>0</v>
      </c>
      <c r="T1376">
        <v>0</v>
      </c>
      <c r="U1376">
        <v>0</v>
      </c>
      <c r="V1376">
        <v>0</v>
      </c>
      <c r="W1376">
        <v>0</v>
      </c>
      <c r="X1376">
        <v>0</v>
      </c>
      <c r="Y1376">
        <v>0</v>
      </c>
      <c r="Z1376">
        <v>0</v>
      </c>
      <c r="AA1376">
        <v>0</v>
      </c>
      <c r="AB1376">
        <v>0</v>
      </c>
      <c r="AC1376">
        <v>0</v>
      </c>
      <c r="AD1376">
        <v>0</v>
      </c>
      <c r="AE1376">
        <v>0</v>
      </c>
      <c r="AF1376">
        <v>0</v>
      </c>
      <c r="AG1376">
        <v>0</v>
      </c>
      <c r="AH1376">
        <v>0</v>
      </c>
      <c r="AI1376">
        <v>0</v>
      </c>
      <c r="AJ1376">
        <v>0</v>
      </c>
      <c r="AK1376">
        <v>0</v>
      </c>
      <c r="AL1376">
        <v>0</v>
      </c>
      <c r="AM1376">
        <v>0</v>
      </c>
      <c r="AN1376">
        <v>0</v>
      </c>
      <c r="AO1376">
        <v>0</v>
      </c>
      <c r="AP1376">
        <v>0</v>
      </c>
      <c r="AQ1376">
        <v>49.45</v>
      </c>
      <c r="AR1376">
        <v>0</v>
      </c>
      <c r="AS1376">
        <v>0</v>
      </c>
      <c r="AT1376">
        <v>0</v>
      </c>
      <c r="AU1376">
        <v>0</v>
      </c>
      <c r="AV1376">
        <v>0</v>
      </c>
      <c r="AW1376">
        <v>17.41</v>
      </c>
      <c r="AX1376">
        <v>0</v>
      </c>
      <c r="AY1376">
        <v>0</v>
      </c>
      <c r="AZ1376">
        <v>0</v>
      </c>
      <c r="BA1376">
        <v>0</v>
      </c>
      <c r="BB1376">
        <v>0</v>
      </c>
      <c r="BC1376">
        <v>0</v>
      </c>
      <c r="BD1376">
        <v>0</v>
      </c>
      <c r="BE1376">
        <v>0</v>
      </c>
      <c r="BF1376">
        <v>0</v>
      </c>
      <c r="BG1376">
        <v>0</v>
      </c>
      <c r="BH1376">
        <v>1</v>
      </c>
      <c r="BI1376">
        <v>1.4</v>
      </c>
      <c r="BJ1376">
        <v>0.9</v>
      </c>
      <c r="BK1376">
        <v>1.5</v>
      </c>
      <c r="BL1376">
        <v>164.79</v>
      </c>
      <c r="BM1376">
        <v>24.72</v>
      </c>
      <c r="BN1376">
        <v>189.51</v>
      </c>
      <c r="BO1376">
        <v>189.51</v>
      </c>
      <c r="BQ1376" t="s">
        <v>531</v>
      </c>
      <c r="BR1376" t="s">
        <v>82</v>
      </c>
      <c r="BS1376" s="3">
        <v>46002</v>
      </c>
      <c r="BT1376" s="4">
        <v>0.55208333333333337</v>
      </c>
      <c r="BU1376" t="s">
        <v>1925</v>
      </c>
      <c r="BV1376" t="s">
        <v>84</v>
      </c>
      <c r="BY1376">
        <v>4668.3</v>
      </c>
      <c r="BZ1376" t="s">
        <v>30</v>
      </c>
      <c r="CC1376" t="s">
        <v>529</v>
      </c>
      <c r="CD1376" s="5" t="s">
        <v>534</v>
      </c>
      <c r="CE1376" t="s">
        <v>86</v>
      </c>
      <c r="CI1376">
        <v>1</v>
      </c>
      <c r="CJ1376">
        <v>1</v>
      </c>
      <c r="CK1376">
        <v>23</v>
      </c>
      <c r="CL1376" t="s">
        <v>87</v>
      </c>
    </row>
    <row r="1377" spans="1:90" x14ac:dyDescent="0.3">
      <c r="A1377" t="s">
        <v>72</v>
      </c>
      <c r="B1377" t="s">
        <v>73</v>
      </c>
      <c r="C1377" t="s">
        <v>74</v>
      </c>
      <c r="E1377" t="str">
        <f>"080069818581"</f>
        <v>080069818581</v>
      </c>
      <c r="F1377" s="3">
        <v>46001</v>
      </c>
      <c r="G1377">
        <v>202609</v>
      </c>
      <c r="H1377" t="s">
        <v>75</v>
      </c>
      <c r="I1377" t="s">
        <v>76</v>
      </c>
      <c r="J1377" t="s">
        <v>77</v>
      </c>
      <c r="K1377" t="s">
        <v>78</v>
      </c>
      <c r="L1377" t="s">
        <v>100</v>
      </c>
      <c r="M1377" t="s">
        <v>101</v>
      </c>
      <c r="N1377" t="s">
        <v>498</v>
      </c>
      <c r="O1377" t="s">
        <v>89</v>
      </c>
      <c r="P1377" t="str">
        <f>"4170072827                    "</f>
        <v xml:space="preserve">4170072827                    </v>
      </c>
      <c r="Q1377">
        <v>0</v>
      </c>
      <c r="R1377">
        <v>0</v>
      </c>
      <c r="S1377">
        <v>0</v>
      </c>
      <c r="T1377">
        <v>0</v>
      </c>
      <c r="U1377">
        <v>0</v>
      </c>
      <c r="V1377">
        <v>0</v>
      </c>
      <c r="W1377">
        <v>0</v>
      </c>
      <c r="X1377">
        <v>0</v>
      </c>
      <c r="Y1377">
        <v>0</v>
      </c>
      <c r="Z1377">
        <v>0</v>
      </c>
      <c r="AA1377">
        <v>0</v>
      </c>
      <c r="AB1377">
        <v>0</v>
      </c>
      <c r="AC1377">
        <v>0</v>
      </c>
      <c r="AD1377">
        <v>0</v>
      </c>
      <c r="AE1377">
        <v>0</v>
      </c>
      <c r="AF1377">
        <v>0</v>
      </c>
      <c r="AG1377">
        <v>0</v>
      </c>
      <c r="AH1377">
        <v>0</v>
      </c>
      <c r="AI1377">
        <v>0</v>
      </c>
      <c r="AJ1377">
        <v>0</v>
      </c>
      <c r="AK1377">
        <v>0</v>
      </c>
      <c r="AL1377">
        <v>0</v>
      </c>
      <c r="AM1377">
        <v>0</v>
      </c>
      <c r="AN1377">
        <v>0</v>
      </c>
      <c r="AO1377">
        <v>0</v>
      </c>
      <c r="AP1377">
        <v>0</v>
      </c>
      <c r="AQ1377">
        <v>51.04</v>
      </c>
      <c r="AR1377">
        <v>0</v>
      </c>
      <c r="AS1377">
        <v>0</v>
      </c>
      <c r="AT1377">
        <v>0</v>
      </c>
      <c r="AU1377">
        <v>0</v>
      </c>
      <c r="AV1377">
        <v>0</v>
      </c>
      <c r="AW1377">
        <v>0</v>
      </c>
      <c r="AX1377">
        <v>0</v>
      </c>
      <c r="AY1377">
        <v>0</v>
      </c>
      <c r="AZ1377">
        <v>0</v>
      </c>
      <c r="BA1377">
        <v>0</v>
      </c>
      <c r="BB1377">
        <v>0</v>
      </c>
      <c r="BC1377">
        <v>0</v>
      </c>
      <c r="BD1377">
        <v>0</v>
      </c>
      <c r="BE1377">
        <v>0</v>
      </c>
      <c r="BF1377">
        <v>0</v>
      </c>
      <c r="BG1377">
        <v>0</v>
      </c>
      <c r="BH1377">
        <v>1</v>
      </c>
      <c r="BI1377">
        <v>2</v>
      </c>
      <c r="BJ1377">
        <v>3.7</v>
      </c>
      <c r="BK1377">
        <v>4</v>
      </c>
      <c r="BL1377">
        <v>152.1</v>
      </c>
      <c r="BM1377">
        <v>22.82</v>
      </c>
      <c r="BN1377">
        <v>174.92</v>
      </c>
      <c r="BO1377">
        <v>174.92</v>
      </c>
      <c r="BQ1377" t="s">
        <v>499</v>
      </c>
      <c r="BR1377" t="s">
        <v>82</v>
      </c>
      <c r="BS1377" s="3">
        <v>46002</v>
      </c>
      <c r="BT1377" s="4">
        <v>0.6694444444444444</v>
      </c>
      <c r="BU1377" t="s">
        <v>1980</v>
      </c>
      <c r="BV1377" t="s">
        <v>87</v>
      </c>
      <c r="BW1377" t="s">
        <v>246</v>
      </c>
      <c r="BX1377" t="s">
        <v>247</v>
      </c>
      <c r="BY1377">
        <v>18432</v>
      </c>
      <c r="CA1377" t="s">
        <v>630</v>
      </c>
      <c r="CC1377" t="s">
        <v>101</v>
      </c>
      <c r="CD1377">
        <v>4052</v>
      </c>
      <c r="CE1377" t="s">
        <v>93</v>
      </c>
      <c r="CF1377" s="3">
        <v>46003</v>
      </c>
      <c r="CI1377">
        <v>1</v>
      </c>
      <c r="CJ1377">
        <v>1</v>
      </c>
      <c r="CK1377">
        <v>21</v>
      </c>
      <c r="CL1377" t="s">
        <v>87</v>
      </c>
    </row>
    <row r="1378" spans="1:90" x14ac:dyDescent="0.3">
      <c r="A1378" t="s">
        <v>72</v>
      </c>
      <c r="B1378" t="s">
        <v>73</v>
      </c>
      <c r="C1378" t="s">
        <v>74</v>
      </c>
      <c r="E1378" t="str">
        <f>"080069818655"</f>
        <v>080069818655</v>
      </c>
      <c r="F1378" s="3">
        <v>46001</v>
      </c>
      <c r="G1378">
        <v>202609</v>
      </c>
      <c r="H1378" t="s">
        <v>75</v>
      </c>
      <c r="I1378" t="s">
        <v>76</v>
      </c>
      <c r="J1378" t="s">
        <v>77</v>
      </c>
      <c r="K1378" t="s">
        <v>78</v>
      </c>
      <c r="L1378" t="s">
        <v>100</v>
      </c>
      <c r="M1378" t="s">
        <v>101</v>
      </c>
      <c r="N1378" t="s">
        <v>166</v>
      </c>
      <c r="O1378" t="s">
        <v>89</v>
      </c>
      <c r="P1378" t="str">
        <f>"4170072784                    "</f>
        <v xml:space="preserve">4170072784                    </v>
      </c>
      <c r="Q1378">
        <v>0</v>
      </c>
      <c r="R1378">
        <v>0</v>
      </c>
      <c r="S1378">
        <v>0</v>
      </c>
      <c r="T1378">
        <v>0</v>
      </c>
      <c r="U1378">
        <v>0</v>
      </c>
      <c r="V1378">
        <v>0</v>
      </c>
      <c r="W1378">
        <v>0</v>
      </c>
      <c r="X1378">
        <v>0</v>
      </c>
      <c r="Y1378">
        <v>0</v>
      </c>
      <c r="Z1378">
        <v>0</v>
      </c>
      <c r="AA1378">
        <v>0</v>
      </c>
      <c r="AB1378">
        <v>0</v>
      </c>
      <c r="AC1378">
        <v>0</v>
      </c>
      <c r="AD1378">
        <v>0</v>
      </c>
      <c r="AE1378">
        <v>0</v>
      </c>
      <c r="AF1378">
        <v>0</v>
      </c>
      <c r="AG1378">
        <v>0</v>
      </c>
      <c r="AH1378">
        <v>0</v>
      </c>
      <c r="AI1378">
        <v>0</v>
      </c>
      <c r="AJ1378">
        <v>0</v>
      </c>
      <c r="AK1378">
        <v>0</v>
      </c>
      <c r="AL1378">
        <v>0</v>
      </c>
      <c r="AM1378">
        <v>0</v>
      </c>
      <c r="AN1378">
        <v>0</v>
      </c>
      <c r="AO1378">
        <v>0</v>
      </c>
      <c r="AP1378">
        <v>0</v>
      </c>
      <c r="AQ1378">
        <v>108.44</v>
      </c>
      <c r="AR1378">
        <v>0</v>
      </c>
      <c r="AS1378">
        <v>0</v>
      </c>
      <c r="AT1378">
        <v>0</v>
      </c>
      <c r="AU1378">
        <v>0</v>
      </c>
      <c r="AV1378">
        <v>0</v>
      </c>
      <c r="AW1378">
        <v>0</v>
      </c>
      <c r="AX1378">
        <v>0</v>
      </c>
      <c r="AY1378">
        <v>0</v>
      </c>
      <c r="AZ1378">
        <v>0</v>
      </c>
      <c r="BA1378">
        <v>0</v>
      </c>
      <c r="BB1378">
        <v>0</v>
      </c>
      <c r="BC1378">
        <v>0</v>
      </c>
      <c r="BD1378">
        <v>0</v>
      </c>
      <c r="BE1378">
        <v>0</v>
      </c>
      <c r="BF1378">
        <v>0</v>
      </c>
      <c r="BG1378">
        <v>0</v>
      </c>
      <c r="BH1378">
        <v>1</v>
      </c>
      <c r="BI1378">
        <v>4.7</v>
      </c>
      <c r="BJ1378">
        <v>8.4</v>
      </c>
      <c r="BK1378">
        <v>8.5</v>
      </c>
      <c r="BL1378">
        <v>323.17</v>
      </c>
      <c r="BM1378">
        <v>48.48</v>
      </c>
      <c r="BN1378">
        <v>371.65</v>
      </c>
      <c r="BO1378">
        <v>371.65</v>
      </c>
      <c r="BQ1378" t="s">
        <v>167</v>
      </c>
      <c r="BR1378" t="s">
        <v>82</v>
      </c>
      <c r="BS1378" s="3">
        <v>46002</v>
      </c>
      <c r="BT1378" s="4">
        <v>0.42777777777777776</v>
      </c>
      <c r="BU1378" t="s">
        <v>2070</v>
      </c>
      <c r="BV1378" t="s">
        <v>84</v>
      </c>
      <c r="BY1378">
        <v>42039.27</v>
      </c>
      <c r="CA1378" t="s">
        <v>929</v>
      </c>
      <c r="CC1378" t="s">
        <v>101</v>
      </c>
      <c r="CD1378">
        <v>4000</v>
      </c>
      <c r="CE1378" t="s">
        <v>93</v>
      </c>
      <c r="CF1378" s="3">
        <v>46002</v>
      </c>
      <c r="CI1378">
        <v>1</v>
      </c>
      <c r="CJ1378">
        <v>1</v>
      </c>
      <c r="CK1378">
        <v>21</v>
      </c>
      <c r="CL1378" t="s">
        <v>87</v>
      </c>
    </row>
    <row r="1379" spans="1:90" x14ac:dyDescent="0.3">
      <c r="A1379" t="s">
        <v>72</v>
      </c>
      <c r="B1379" t="s">
        <v>73</v>
      </c>
      <c r="C1379" t="s">
        <v>74</v>
      </c>
      <c r="E1379" t="str">
        <f>"080069818795"</f>
        <v>080069818795</v>
      </c>
      <c r="F1379" s="3">
        <v>46001</v>
      </c>
      <c r="G1379">
        <v>202609</v>
      </c>
      <c r="H1379" t="s">
        <v>75</v>
      </c>
      <c r="I1379" t="s">
        <v>76</v>
      </c>
      <c r="J1379" t="s">
        <v>77</v>
      </c>
      <c r="K1379" t="s">
        <v>78</v>
      </c>
      <c r="L1379" t="s">
        <v>575</v>
      </c>
      <c r="M1379" t="s">
        <v>576</v>
      </c>
      <c r="N1379" t="s">
        <v>2071</v>
      </c>
      <c r="O1379" t="s">
        <v>89</v>
      </c>
      <c r="P1379" t="str">
        <f>"4170072781                    "</f>
        <v xml:space="preserve">4170072781                    </v>
      </c>
      <c r="Q1379">
        <v>0</v>
      </c>
      <c r="R1379">
        <v>0</v>
      </c>
      <c r="S1379">
        <v>0</v>
      </c>
      <c r="T1379">
        <v>0</v>
      </c>
      <c r="U1379">
        <v>0</v>
      </c>
      <c r="V1379">
        <v>0</v>
      </c>
      <c r="W1379">
        <v>0</v>
      </c>
      <c r="X1379">
        <v>0</v>
      </c>
      <c r="Y1379">
        <v>0</v>
      </c>
      <c r="Z1379">
        <v>0</v>
      </c>
      <c r="AA1379">
        <v>0</v>
      </c>
      <c r="AB1379">
        <v>0</v>
      </c>
      <c r="AC1379">
        <v>0</v>
      </c>
      <c r="AD1379">
        <v>0</v>
      </c>
      <c r="AE1379">
        <v>0</v>
      </c>
      <c r="AF1379">
        <v>0</v>
      </c>
      <c r="AG1379">
        <v>0</v>
      </c>
      <c r="AH1379">
        <v>0</v>
      </c>
      <c r="AI1379">
        <v>0</v>
      </c>
      <c r="AJ1379">
        <v>0</v>
      </c>
      <c r="AK1379">
        <v>0</v>
      </c>
      <c r="AL1379">
        <v>0</v>
      </c>
      <c r="AM1379">
        <v>0</v>
      </c>
      <c r="AN1379">
        <v>0</v>
      </c>
      <c r="AO1379">
        <v>0</v>
      </c>
      <c r="AP1379">
        <v>0</v>
      </c>
      <c r="AQ1379">
        <v>19.940000000000001</v>
      </c>
      <c r="AR1379">
        <v>0</v>
      </c>
      <c r="AS1379">
        <v>0</v>
      </c>
      <c r="AT1379">
        <v>0</v>
      </c>
      <c r="AU1379">
        <v>0</v>
      </c>
      <c r="AV1379">
        <v>0</v>
      </c>
      <c r="AW1379">
        <v>0</v>
      </c>
      <c r="AX1379">
        <v>0</v>
      </c>
      <c r="AY1379">
        <v>0</v>
      </c>
      <c r="AZ1379">
        <v>0</v>
      </c>
      <c r="BA1379">
        <v>0</v>
      </c>
      <c r="BB1379">
        <v>0</v>
      </c>
      <c r="BC1379">
        <v>0</v>
      </c>
      <c r="BD1379">
        <v>0</v>
      </c>
      <c r="BE1379">
        <v>0</v>
      </c>
      <c r="BF1379">
        <v>0</v>
      </c>
      <c r="BG1379">
        <v>0</v>
      </c>
      <c r="BH1379">
        <v>1</v>
      </c>
      <c r="BI1379">
        <v>1.3</v>
      </c>
      <c r="BJ1379">
        <v>4.0999999999999996</v>
      </c>
      <c r="BK1379">
        <v>5</v>
      </c>
      <c r="BL1379">
        <v>59.42</v>
      </c>
      <c r="BM1379">
        <v>8.91</v>
      </c>
      <c r="BN1379">
        <v>68.33</v>
      </c>
      <c r="BO1379">
        <v>68.33</v>
      </c>
      <c r="BQ1379" t="s">
        <v>2072</v>
      </c>
      <c r="BR1379" t="s">
        <v>82</v>
      </c>
      <c r="BS1379" s="3">
        <v>46002</v>
      </c>
      <c r="BT1379" s="4">
        <v>0.3263888888888889</v>
      </c>
      <c r="BU1379" t="s">
        <v>2073</v>
      </c>
      <c r="BV1379" t="s">
        <v>84</v>
      </c>
      <c r="BY1379">
        <v>20385.75</v>
      </c>
      <c r="CA1379" t="s">
        <v>580</v>
      </c>
      <c r="CC1379" t="s">
        <v>576</v>
      </c>
      <c r="CD1379">
        <v>1451</v>
      </c>
      <c r="CE1379" t="s">
        <v>134</v>
      </c>
      <c r="CF1379" s="3">
        <v>46003</v>
      </c>
      <c r="CI1379">
        <v>1</v>
      </c>
      <c r="CJ1379">
        <v>1</v>
      </c>
      <c r="CK1379">
        <v>22</v>
      </c>
      <c r="CL1379" t="s">
        <v>87</v>
      </c>
    </row>
    <row r="1380" spans="1:90" x14ac:dyDescent="0.3">
      <c r="A1380" t="s">
        <v>72</v>
      </c>
      <c r="B1380" t="s">
        <v>73</v>
      </c>
      <c r="C1380" t="s">
        <v>74</v>
      </c>
      <c r="E1380" t="str">
        <f>"080069818802"</f>
        <v>080069818802</v>
      </c>
      <c r="F1380" s="3">
        <v>46001</v>
      </c>
      <c r="G1380">
        <v>202609</v>
      </c>
      <c r="H1380" t="s">
        <v>75</v>
      </c>
      <c r="I1380" t="s">
        <v>76</v>
      </c>
      <c r="J1380" t="s">
        <v>77</v>
      </c>
      <c r="K1380" t="s">
        <v>78</v>
      </c>
      <c r="L1380" t="s">
        <v>302</v>
      </c>
      <c r="M1380" t="s">
        <v>303</v>
      </c>
      <c r="N1380" t="s">
        <v>1821</v>
      </c>
      <c r="O1380" t="s">
        <v>80</v>
      </c>
      <c r="P1380" t="str">
        <f>"4170072810                    "</f>
        <v xml:space="preserve">4170072810                    </v>
      </c>
      <c r="Q1380">
        <v>0</v>
      </c>
      <c r="R1380">
        <v>0</v>
      </c>
      <c r="S1380">
        <v>0</v>
      </c>
      <c r="T1380">
        <v>0</v>
      </c>
      <c r="U1380">
        <v>0</v>
      </c>
      <c r="V1380">
        <v>0</v>
      </c>
      <c r="W1380">
        <v>0</v>
      </c>
      <c r="X1380">
        <v>0</v>
      </c>
      <c r="Y1380">
        <v>0</v>
      </c>
      <c r="Z1380">
        <v>0</v>
      </c>
      <c r="AA1380">
        <v>0</v>
      </c>
      <c r="AB1380">
        <v>0</v>
      </c>
      <c r="AC1380">
        <v>0</v>
      </c>
      <c r="AD1380">
        <v>0</v>
      </c>
      <c r="AE1380">
        <v>0</v>
      </c>
      <c r="AF1380">
        <v>0</v>
      </c>
      <c r="AG1380">
        <v>0</v>
      </c>
      <c r="AH1380">
        <v>0</v>
      </c>
      <c r="AI1380">
        <v>0</v>
      </c>
      <c r="AJ1380">
        <v>0</v>
      </c>
      <c r="AK1380">
        <v>0</v>
      </c>
      <c r="AL1380">
        <v>0</v>
      </c>
      <c r="AM1380">
        <v>0</v>
      </c>
      <c r="AN1380">
        <v>0</v>
      </c>
      <c r="AO1380">
        <v>0</v>
      </c>
      <c r="AP1380">
        <v>0</v>
      </c>
      <c r="AQ1380">
        <v>49.36</v>
      </c>
      <c r="AR1380">
        <v>0</v>
      </c>
      <c r="AS1380">
        <v>0</v>
      </c>
      <c r="AT1380">
        <v>0</v>
      </c>
      <c r="AU1380">
        <v>0</v>
      </c>
      <c r="AV1380">
        <v>0</v>
      </c>
      <c r="AW1380">
        <v>0</v>
      </c>
      <c r="AX1380">
        <v>0</v>
      </c>
      <c r="AY1380">
        <v>0</v>
      </c>
      <c r="AZ1380">
        <v>0</v>
      </c>
      <c r="BA1380">
        <v>0</v>
      </c>
      <c r="BB1380">
        <v>0</v>
      </c>
      <c r="BC1380">
        <v>0</v>
      </c>
      <c r="BD1380">
        <v>0</v>
      </c>
      <c r="BE1380">
        <v>0</v>
      </c>
      <c r="BF1380">
        <v>0</v>
      </c>
      <c r="BG1380">
        <v>0</v>
      </c>
      <c r="BH1380">
        <v>2</v>
      </c>
      <c r="BI1380">
        <v>9.1</v>
      </c>
      <c r="BJ1380">
        <v>3.6</v>
      </c>
      <c r="BK1380">
        <v>10</v>
      </c>
      <c r="BL1380">
        <v>153.19999999999999</v>
      </c>
      <c r="BM1380">
        <v>22.98</v>
      </c>
      <c r="BN1380">
        <v>176.18</v>
      </c>
      <c r="BO1380">
        <v>176.18</v>
      </c>
      <c r="BQ1380" t="s">
        <v>1822</v>
      </c>
      <c r="BR1380" t="s">
        <v>82</v>
      </c>
      <c r="BS1380" s="3">
        <v>46002</v>
      </c>
      <c r="BT1380" s="4">
        <v>0.51180555555555551</v>
      </c>
      <c r="BU1380" t="s">
        <v>1823</v>
      </c>
      <c r="BV1380" t="s">
        <v>84</v>
      </c>
      <c r="BY1380">
        <v>17833.36</v>
      </c>
      <c r="CA1380">
        <v>8303236124087</v>
      </c>
      <c r="CC1380" t="s">
        <v>303</v>
      </c>
      <c r="CD1380" s="5" t="s">
        <v>307</v>
      </c>
      <c r="CE1380" t="s">
        <v>86</v>
      </c>
      <c r="CF1380" s="3">
        <v>46002</v>
      </c>
      <c r="CI1380">
        <v>1</v>
      </c>
      <c r="CJ1380">
        <v>1</v>
      </c>
      <c r="CK1380">
        <v>41</v>
      </c>
      <c r="CL1380" t="s">
        <v>87</v>
      </c>
    </row>
    <row r="1381" spans="1:90" x14ac:dyDescent="0.3">
      <c r="A1381" t="s">
        <v>72</v>
      </c>
      <c r="B1381" t="s">
        <v>73</v>
      </c>
      <c r="C1381" t="s">
        <v>74</v>
      </c>
      <c r="E1381" t="str">
        <f>"080069818856"</f>
        <v>080069818856</v>
      </c>
      <c r="F1381" s="3">
        <v>46001</v>
      </c>
      <c r="G1381">
        <v>202609</v>
      </c>
      <c r="H1381" t="s">
        <v>75</v>
      </c>
      <c r="I1381" t="s">
        <v>76</v>
      </c>
      <c r="J1381" t="s">
        <v>77</v>
      </c>
      <c r="K1381" t="s">
        <v>78</v>
      </c>
      <c r="L1381" t="s">
        <v>156</v>
      </c>
      <c r="M1381" t="s">
        <v>157</v>
      </c>
      <c r="N1381" t="s">
        <v>443</v>
      </c>
      <c r="O1381" t="s">
        <v>89</v>
      </c>
      <c r="P1381" t="str">
        <f>"4170072869                    "</f>
        <v xml:space="preserve">4170072869                    </v>
      </c>
      <c r="Q1381">
        <v>0</v>
      </c>
      <c r="R1381">
        <v>0</v>
      </c>
      <c r="S1381">
        <v>0</v>
      </c>
      <c r="T1381">
        <v>0</v>
      </c>
      <c r="U1381">
        <v>0</v>
      </c>
      <c r="V1381">
        <v>0</v>
      </c>
      <c r="W1381">
        <v>0</v>
      </c>
      <c r="X1381">
        <v>0</v>
      </c>
      <c r="Y1381">
        <v>0</v>
      </c>
      <c r="Z1381">
        <v>0</v>
      </c>
      <c r="AA1381">
        <v>0</v>
      </c>
      <c r="AB1381">
        <v>0</v>
      </c>
      <c r="AC1381">
        <v>0</v>
      </c>
      <c r="AD1381">
        <v>0</v>
      </c>
      <c r="AE1381">
        <v>0</v>
      </c>
      <c r="AF1381">
        <v>0</v>
      </c>
      <c r="AG1381">
        <v>0</v>
      </c>
      <c r="AH1381">
        <v>0</v>
      </c>
      <c r="AI1381">
        <v>0</v>
      </c>
      <c r="AJ1381">
        <v>0</v>
      </c>
      <c r="AK1381">
        <v>0</v>
      </c>
      <c r="AL1381">
        <v>0</v>
      </c>
      <c r="AM1381">
        <v>0</v>
      </c>
      <c r="AN1381">
        <v>0</v>
      </c>
      <c r="AO1381">
        <v>0</v>
      </c>
      <c r="AP1381">
        <v>0</v>
      </c>
      <c r="AQ1381">
        <v>25.52</v>
      </c>
      <c r="AR1381">
        <v>0</v>
      </c>
      <c r="AS1381">
        <v>0</v>
      </c>
      <c r="AT1381">
        <v>0</v>
      </c>
      <c r="AU1381">
        <v>0</v>
      </c>
      <c r="AV1381">
        <v>0</v>
      </c>
      <c r="AW1381">
        <v>0</v>
      </c>
      <c r="AX1381">
        <v>0</v>
      </c>
      <c r="AY1381">
        <v>0</v>
      </c>
      <c r="AZ1381">
        <v>0</v>
      </c>
      <c r="BA1381">
        <v>0</v>
      </c>
      <c r="BB1381">
        <v>0</v>
      </c>
      <c r="BC1381">
        <v>0</v>
      </c>
      <c r="BD1381">
        <v>0</v>
      </c>
      <c r="BE1381">
        <v>0</v>
      </c>
      <c r="BF1381">
        <v>0</v>
      </c>
      <c r="BG1381">
        <v>0</v>
      </c>
      <c r="BH1381">
        <v>1</v>
      </c>
      <c r="BI1381">
        <v>0.5</v>
      </c>
      <c r="BJ1381">
        <v>1.6</v>
      </c>
      <c r="BK1381">
        <v>2</v>
      </c>
      <c r="BL1381">
        <v>76.06</v>
      </c>
      <c r="BM1381">
        <v>11.41</v>
      </c>
      <c r="BN1381">
        <v>87.47</v>
      </c>
      <c r="BO1381">
        <v>87.47</v>
      </c>
      <c r="BQ1381" t="s">
        <v>444</v>
      </c>
      <c r="BR1381" t="s">
        <v>82</v>
      </c>
      <c r="BS1381" s="3">
        <v>46002</v>
      </c>
      <c r="BT1381" s="4">
        <v>0.35625000000000001</v>
      </c>
      <c r="BU1381" t="s">
        <v>2051</v>
      </c>
      <c r="BV1381" t="s">
        <v>84</v>
      </c>
      <c r="BY1381">
        <v>7782.08</v>
      </c>
      <c r="CA1381" t="s">
        <v>346</v>
      </c>
      <c r="CC1381" t="s">
        <v>157</v>
      </c>
      <c r="CD1381">
        <v>7530</v>
      </c>
      <c r="CE1381" t="s">
        <v>134</v>
      </c>
      <c r="CI1381">
        <v>1</v>
      </c>
      <c r="CJ1381">
        <v>1</v>
      </c>
      <c r="CK1381">
        <v>21</v>
      </c>
      <c r="CL1381" t="s">
        <v>87</v>
      </c>
    </row>
    <row r="1382" spans="1:90" x14ac:dyDescent="0.3">
      <c r="A1382" t="s">
        <v>72</v>
      </c>
      <c r="B1382" t="s">
        <v>73</v>
      </c>
      <c r="C1382" t="s">
        <v>74</v>
      </c>
      <c r="E1382" t="str">
        <f>"080069818900"</f>
        <v>080069818900</v>
      </c>
      <c r="F1382" s="3">
        <v>46001</v>
      </c>
      <c r="G1382">
        <v>202609</v>
      </c>
      <c r="H1382" t="s">
        <v>75</v>
      </c>
      <c r="I1382" t="s">
        <v>76</v>
      </c>
      <c r="J1382" t="s">
        <v>77</v>
      </c>
      <c r="K1382" t="s">
        <v>78</v>
      </c>
      <c r="L1382" t="s">
        <v>156</v>
      </c>
      <c r="M1382" t="s">
        <v>157</v>
      </c>
      <c r="N1382" t="s">
        <v>2074</v>
      </c>
      <c r="O1382" t="s">
        <v>89</v>
      </c>
      <c r="P1382" t="str">
        <f>"4170072786                    "</f>
        <v xml:space="preserve">4170072786                    </v>
      </c>
      <c r="Q1382">
        <v>0</v>
      </c>
      <c r="R1382">
        <v>0</v>
      </c>
      <c r="S1382">
        <v>0</v>
      </c>
      <c r="T1382">
        <v>0</v>
      </c>
      <c r="U1382">
        <v>0</v>
      </c>
      <c r="V1382">
        <v>0</v>
      </c>
      <c r="W1382">
        <v>0</v>
      </c>
      <c r="X1382">
        <v>0</v>
      </c>
      <c r="Y1382">
        <v>0</v>
      </c>
      <c r="Z1382">
        <v>0</v>
      </c>
      <c r="AA1382">
        <v>0</v>
      </c>
      <c r="AB1382">
        <v>0</v>
      </c>
      <c r="AC1382">
        <v>0</v>
      </c>
      <c r="AD1382">
        <v>0</v>
      </c>
      <c r="AE1382">
        <v>0</v>
      </c>
      <c r="AF1382">
        <v>0</v>
      </c>
      <c r="AG1382">
        <v>0</v>
      </c>
      <c r="AH1382">
        <v>0</v>
      </c>
      <c r="AI1382">
        <v>0</v>
      </c>
      <c r="AJ1382">
        <v>0</v>
      </c>
      <c r="AK1382">
        <v>0</v>
      </c>
      <c r="AL1382">
        <v>0</v>
      </c>
      <c r="AM1382">
        <v>0</v>
      </c>
      <c r="AN1382">
        <v>0</v>
      </c>
      <c r="AO1382">
        <v>0</v>
      </c>
      <c r="AP1382">
        <v>0</v>
      </c>
      <c r="AQ1382">
        <v>38.28</v>
      </c>
      <c r="AR1382">
        <v>0</v>
      </c>
      <c r="AS1382">
        <v>0</v>
      </c>
      <c r="AT1382">
        <v>0</v>
      </c>
      <c r="AU1382">
        <v>0</v>
      </c>
      <c r="AV1382">
        <v>0</v>
      </c>
      <c r="AW1382">
        <v>0</v>
      </c>
      <c r="AX1382">
        <v>0</v>
      </c>
      <c r="AY1382">
        <v>0</v>
      </c>
      <c r="AZ1382">
        <v>0</v>
      </c>
      <c r="BA1382">
        <v>0</v>
      </c>
      <c r="BB1382">
        <v>0</v>
      </c>
      <c r="BC1382">
        <v>0</v>
      </c>
      <c r="BD1382">
        <v>0</v>
      </c>
      <c r="BE1382">
        <v>0</v>
      </c>
      <c r="BF1382">
        <v>0</v>
      </c>
      <c r="BG1382">
        <v>0</v>
      </c>
      <c r="BH1382">
        <v>1</v>
      </c>
      <c r="BI1382">
        <v>3</v>
      </c>
      <c r="BJ1382">
        <v>0.6</v>
      </c>
      <c r="BK1382">
        <v>3</v>
      </c>
      <c r="BL1382">
        <v>114.08</v>
      </c>
      <c r="BM1382">
        <v>17.11</v>
      </c>
      <c r="BN1382">
        <v>131.19</v>
      </c>
      <c r="BO1382">
        <v>131.19</v>
      </c>
      <c r="BQ1382" t="s">
        <v>2075</v>
      </c>
      <c r="BR1382" t="s">
        <v>82</v>
      </c>
      <c r="BS1382" s="3">
        <v>46002</v>
      </c>
      <c r="BT1382" s="4">
        <v>0.41666666666666669</v>
      </c>
      <c r="BU1382" t="s">
        <v>2076</v>
      </c>
      <c r="BV1382" t="s">
        <v>84</v>
      </c>
      <c r="BY1382">
        <v>3024</v>
      </c>
      <c r="CC1382" t="s">
        <v>157</v>
      </c>
      <c r="CD1382">
        <v>8001</v>
      </c>
      <c r="CE1382" t="s">
        <v>229</v>
      </c>
      <c r="CI1382">
        <v>1</v>
      </c>
      <c r="CJ1382">
        <v>1</v>
      </c>
      <c r="CK1382">
        <v>21</v>
      </c>
      <c r="CL1382" t="s">
        <v>87</v>
      </c>
    </row>
    <row r="1383" spans="1:90" x14ac:dyDescent="0.3">
      <c r="A1383" t="s">
        <v>72</v>
      </c>
      <c r="B1383" t="s">
        <v>73</v>
      </c>
      <c r="C1383" t="s">
        <v>74</v>
      </c>
      <c r="E1383" t="str">
        <f>"080069818926"</f>
        <v>080069818926</v>
      </c>
      <c r="F1383" s="3">
        <v>46001</v>
      </c>
      <c r="G1383">
        <v>202609</v>
      </c>
      <c r="H1383" t="s">
        <v>75</v>
      </c>
      <c r="I1383" t="s">
        <v>76</v>
      </c>
      <c r="J1383" t="s">
        <v>77</v>
      </c>
      <c r="K1383" t="s">
        <v>78</v>
      </c>
      <c r="L1383" t="s">
        <v>437</v>
      </c>
      <c r="M1383" t="s">
        <v>438</v>
      </c>
      <c r="N1383" t="s">
        <v>439</v>
      </c>
      <c r="O1383" t="s">
        <v>89</v>
      </c>
      <c r="P1383" t="str">
        <f>"4170072850                    "</f>
        <v xml:space="preserve">4170072850                    </v>
      </c>
      <c r="Q1383">
        <v>0</v>
      </c>
      <c r="R1383">
        <v>0</v>
      </c>
      <c r="S1383">
        <v>0</v>
      </c>
      <c r="T1383">
        <v>0</v>
      </c>
      <c r="U1383">
        <v>0</v>
      </c>
      <c r="V1383">
        <v>0</v>
      </c>
      <c r="W1383">
        <v>0</v>
      </c>
      <c r="X1383">
        <v>0</v>
      </c>
      <c r="Y1383">
        <v>0</v>
      </c>
      <c r="Z1383">
        <v>0</v>
      </c>
      <c r="AA1383">
        <v>0</v>
      </c>
      <c r="AB1383">
        <v>0</v>
      </c>
      <c r="AC1383">
        <v>0</v>
      </c>
      <c r="AD1383">
        <v>0</v>
      </c>
      <c r="AE1383">
        <v>0</v>
      </c>
      <c r="AF1383">
        <v>0</v>
      </c>
      <c r="AG1383">
        <v>0</v>
      </c>
      <c r="AH1383">
        <v>0</v>
      </c>
      <c r="AI1383">
        <v>0</v>
      </c>
      <c r="AJ1383">
        <v>0</v>
      </c>
      <c r="AK1383">
        <v>0</v>
      </c>
      <c r="AL1383">
        <v>0</v>
      </c>
      <c r="AM1383">
        <v>0</v>
      </c>
      <c r="AN1383">
        <v>0</v>
      </c>
      <c r="AO1383">
        <v>0</v>
      </c>
      <c r="AP1383">
        <v>0</v>
      </c>
      <c r="AQ1383">
        <v>49.45</v>
      </c>
      <c r="AR1383">
        <v>0</v>
      </c>
      <c r="AS1383">
        <v>0</v>
      </c>
      <c r="AT1383">
        <v>0</v>
      </c>
      <c r="AU1383">
        <v>0</v>
      </c>
      <c r="AV1383">
        <v>0</v>
      </c>
      <c r="AW1383">
        <v>0</v>
      </c>
      <c r="AX1383">
        <v>0</v>
      </c>
      <c r="AY1383">
        <v>0</v>
      </c>
      <c r="AZ1383">
        <v>0</v>
      </c>
      <c r="BA1383">
        <v>0</v>
      </c>
      <c r="BB1383">
        <v>0</v>
      </c>
      <c r="BC1383">
        <v>0</v>
      </c>
      <c r="BD1383">
        <v>0</v>
      </c>
      <c r="BE1383">
        <v>0</v>
      </c>
      <c r="BF1383">
        <v>0</v>
      </c>
      <c r="BG1383">
        <v>0</v>
      </c>
      <c r="BH1383">
        <v>1</v>
      </c>
      <c r="BI1383">
        <v>1</v>
      </c>
      <c r="BJ1383">
        <v>0.2</v>
      </c>
      <c r="BK1383">
        <v>1</v>
      </c>
      <c r="BL1383">
        <v>147.38</v>
      </c>
      <c r="BM1383">
        <v>22.11</v>
      </c>
      <c r="BN1383">
        <v>169.49</v>
      </c>
      <c r="BO1383">
        <v>169.49</v>
      </c>
      <c r="BQ1383" t="s">
        <v>440</v>
      </c>
      <c r="BR1383" t="s">
        <v>82</v>
      </c>
      <c r="BS1383" s="3">
        <v>46002</v>
      </c>
      <c r="BT1383" s="4">
        <v>0.57916666666666672</v>
      </c>
      <c r="BU1383" t="s">
        <v>1974</v>
      </c>
      <c r="BV1383" t="s">
        <v>84</v>
      </c>
      <c r="BY1383">
        <v>1200</v>
      </c>
      <c r="CA1383" t="s">
        <v>442</v>
      </c>
      <c r="CC1383" t="s">
        <v>438</v>
      </c>
      <c r="CD1383">
        <v>3290</v>
      </c>
      <c r="CE1383" t="s">
        <v>134</v>
      </c>
      <c r="CI1383">
        <v>1</v>
      </c>
      <c r="CJ1383">
        <v>1</v>
      </c>
      <c r="CK1383">
        <v>23</v>
      </c>
      <c r="CL1383" t="s">
        <v>87</v>
      </c>
    </row>
    <row r="1384" spans="1:90" x14ac:dyDescent="0.3">
      <c r="A1384" t="s">
        <v>72</v>
      </c>
      <c r="B1384" t="s">
        <v>73</v>
      </c>
      <c r="C1384" t="s">
        <v>74</v>
      </c>
      <c r="E1384" t="str">
        <f>"080069818981"</f>
        <v>080069818981</v>
      </c>
      <c r="F1384" s="3">
        <v>46001</v>
      </c>
      <c r="G1384">
        <v>202609</v>
      </c>
      <c r="H1384" t="s">
        <v>75</v>
      </c>
      <c r="I1384" t="s">
        <v>76</v>
      </c>
      <c r="J1384" t="s">
        <v>77</v>
      </c>
      <c r="K1384" t="s">
        <v>78</v>
      </c>
      <c r="L1384" t="s">
        <v>75</v>
      </c>
      <c r="M1384" t="s">
        <v>76</v>
      </c>
      <c r="N1384" t="s">
        <v>2077</v>
      </c>
      <c r="O1384" t="s">
        <v>89</v>
      </c>
      <c r="P1384" t="str">
        <f>"4170072834                    "</f>
        <v xml:space="preserve">4170072834                    </v>
      </c>
      <c r="Q1384">
        <v>0</v>
      </c>
      <c r="R1384">
        <v>0</v>
      </c>
      <c r="S1384">
        <v>0</v>
      </c>
      <c r="T1384">
        <v>0</v>
      </c>
      <c r="U1384">
        <v>0</v>
      </c>
      <c r="V1384">
        <v>0</v>
      </c>
      <c r="W1384">
        <v>0</v>
      </c>
      <c r="X1384">
        <v>0</v>
      </c>
      <c r="Y1384">
        <v>0</v>
      </c>
      <c r="Z1384">
        <v>0</v>
      </c>
      <c r="AA1384">
        <v>0</v>
      </c>
      <c r="AB1384">
        <v>0</v>
      </c>
      <c r="AC1384">
        <v>0</v>
      </c>
      <c r="AD1384">
        <v>0</v>
      </c>
      <c r="AE1384">
        <v>0</v>
      </c>
      <c r="AF1384">
        <v>0</v>
      </c>
      <c r="AG1384">
        <v>0</v>
      </c>
      <c r="AH1384">
        <v>0</v>
      </c>
      <c r="AI1384">
        <v>0</v>
      </c>
      <c r="AJ1384">
        <v>0</v>
      </c>
      <c r="AK1384">
        <v>0</v>
      </c>
      <c r="AL1384">
        <v>0</v>
      </c>
      <c r="AM1384">
        <v>0</v>
      </c>
      <c r="AN1384">
        <v>0</v>
      </c>
      <c r="AO1384">
        <v>0</v>
      </c>
      <c r="AP1384">
        <v>0</v>
      </c>
      <c r="AQ1384">
        <v>19.940000000000001</v>
      </c>
      <c r="AR1384">
        <v>0</v>
      </c>
      <c r="AS1384">
        <v>0</v>
      </c>
      <c r="AT1384">
        <v>0</v>
      </c>
      <c r="AU1384">
        <v>0</v>
      </c>
      <c r="AV1384">
        <v>0</v>
      </c>
      <c r="AW1384">
        <v>0</v>
      </c>
      <c r="AX1384">
        <v>0</v>
      </c>
      <c r="AY1384">
        <v>0</v>
      </c>
      <c r="AZ1384">
        <v>0</v>
      </c>
      <c r="BA1384">
        <v>0</v>
      </c>
      <c r="BB1384">
        <v>0</v>
      </c>
      <c r="BC1384">
        <v>0</v>
      </c>
      <c r="BD1384">
        <v>0</v>
      </c>
      <c r="BE1384">
        <v>0</v>
      </c>
      <c r="BF1384">
        <v>0</v>
      </c>
      <c r="BG1384">
        <v>0</v>
      </c>
      <c r="BH1384">
        <v>1</v>
      </c>
      <c r="BI1384">
        <v>2.2999999999999998</v>
      </c>
      <c r="BJ1384">
        <v>1.3</v>
      </c>
      <c r="BK1384">
        <v>3</v>
      </c>
      <c r="BL1384">
        <v>59.42</v>
      </c>
      <c r="BM1384">
        <v>8.91</v>
      </c>
      <c r="BN1384">
        <v>68.33</v>
      </c>
      <c r="BO1384">
        <v>68.33</v>
      </c>
      <c r="BQ1384" t="s">
        <v>2078</v>
      </c>
      <c r="BR1384" t="s">
        <v>82</v>
      </c>
      <c r="BS1384" s="3">
        <v>46002</v>
      </c>
      <c r="BT1384" s="4">
        <v>0.57152777777777775</v>
      </c>
      <c r="BU1384" t="s">
        <v>2079</v>
      </c>
      <c r="BV1384" t="s">
        <v>87</v>
      </c>
      <c r="BW1384" t="s">
        <v>174</v>
      </c>
      <c r="BX1384" t="s">
        <v>198</v>
      </c>
      <c r="BY1384">
        <v>6461.4</v>
      </c>
      <c r="CA1384" t="s">
        <v>606</v>
      </c>
      <c r="CC1384" t="s">
        <v>76</v>
      </c>
      <c r="CD1384">
        <v>1601</v>
      </c>
      <c r="CE1384" t="s">
        <v>86</v>
      </c>
      <c r="CF1384" s="3">
        <v>46003</v>
      </c>
      <c r="CI1384">
        <v>1</v>
      </c>
      <c r="CJ1384">
        <v>1</v>
      </c>
      <c r="CK1384">
        <v>22</v>
      </c>
      <c r="CL1384" t="s">
        <v>87</v>
      </c>
    </row>
    <row r="1385" spans="1:90" x14ac:dyDescent="0.3">
      <c r="A1385" t="s">
        <v>72</v>
      </c>
      <c r="B1385" t="s">
        <v>73</v>
      </c>
      <c r="C1385" t="s">
        <v>74</v>
      </c>
      <c r="E1385" t="str">
        <f>"080069818988"</f>
        <v>080069818988</v>
      </c>
      <c r="F1385" s="3">
        <v>46001</v>
      </c>
      <c r="G1385">
        <v>202609</v>
      </c>
      <c r="H1385" t="s">
        <v>75</v>
      </c>
      <c r="I1385" t="s">
        <v>76</v>
      </c>
      <c r="J1385" t="s">
        <v>77</v>
      </c>
      <c r="K1385" t="s">
        <v>78</v>
      </c>
      <c r="L1385" t="s">
        <v>302</v>
      </c>
      <c r="M1385" t="s">
        <v>303</v>
      </c>
      <c r="N1385" t="s">
        <v>822</v>
      </c>
      <c r="O1385" t="s">
        <v>89</v>
      </c>
      <c r="P1385" t="str">
        <f>"4170072860                    "</f>
        <v xml:space="preserve">4170072860                    </v>
      </c>
      <c r="Q1385">
        <v>0</v>
      </c>
      <c r="R1385">
        <v>0</v>
      </c>
      <c r="S1385">
        <v>0</v>
      </c>
      <c r="T1385">
        <v>0</v>
      </c>
      <c r="U1385">
        <v>0</v>
      </c>
      <c r="V1385">
        <v>0</v>
      </c>
      <c r="W1385">
        <v>0</v>
      </c>
      <c r="X1385">
        <v>0</v>
      </c>
      <c r="Y1385">
        <v>0</v>
      </c>
      <c r="Z1385">
        <v>0</v>
      </c>
      <c r="AA1385">
        <v>0</v>
      </c>
      <c r="AB1385">
        <v>0</v>
      </c>
      <c r="AC1385">
        <v>0</v>
      </c>
      <c r="AD1385">
        <v>0</v>
      </c>
      <c r="AE1385">
        <v>0</v>
      </c>
      <c r="AF1385">
        <v>0</v>
      </c>
      <c r="AG1385">
        <v>0</v>
      </c>
      <c r="AH1385">
        <v>0</v>
      </c>
      <c r="AI1385">
        <v>0</v>
      </c>
      <c r="AJ1385">
        <v>0</v>
      </c>
      <c r="AK1385">
        <v>0</v>
      </c>
      <c r="AL1385">
        <v>0</v>
      </c>
      <c r="AM1385">
        <v>0</v>
      </c>
      <c r="AN1385">
        <v>0</v>
      </c>
      <c r="AO1385">
        <v>0</v>
      </c>
      <c r="AP1385">
        <v>0</v>
      </c>
      <c r="AQ1385">
        <v>38.28</v>
      </c>
      <c r="AR1385">
        <v>0</v>
      </c>
      <c r="AS1385">
        <v>0</v>
      </c>
      <c r="AT1385">
        <v>0</v>
      </c>
      <c r="AU1385">
        <v>0</v>
      </c>
      <c r="AV1385">
        <v>0</v>
      </c>
      <c r="AW1385">
        <v>0</v>
      </c>
      <c r="AX1385">
        <v>0</v>
      </c>
      <c r="AY1385">
        <v>0</v>
      </c>
      <c r="AZ1385">
        <v>0</v>
      </c>
      <c r="BA1385">
        <v>0</v>
      </c>
      <c r="BB1385">
        <v>0</v>
      </c>
      <c r="BC1385">
        <v>0</v>
      </c>
      <c r="BD1385">
        <v>0</v>
      </c>
      <c r="BE1385">
        <v>0</v>
      </c>
      <c r="BF1385">
        <v>0</v>
      </c>
      <c r="BG1385">
        <v>0</v>
      </c>
      <c r="BH1385">
        <v>1</v>
      </c>
      <c r="BI1385">
        <v>0.9</v>
      </c>
      <c r="BJ1385">
        <v>3</v>
      </c>
      <c r="BK1385">
        <v>3</v>
      </c>
      <c r="BL1385">
        <v>114.08</v>
      </c>
      <c r="BM1385">
        <v>17.11</v>
      </c>
      <c r="BN1385">
        <v>131.19</v>
      </c>
      <c r="BO1385">
        <v>131.19</v>
      </c>
      <c r="BQ1385" t="s">
        <v>823</v>
      </c>
      <c r="BR1385" t="s">
        <v>82</v>
      </c>
      <c r="BS1385" s="3">
        <v>46002</v>
      </c>
      <c r="BT1385" s="4">
        <v>0.4201388888888889</v>
      </c>
      <c r="BU1385" t="s">
        <v>2080</v>
      </c>
      <c r="BV1385" t="s">
        <v>84</v>
      </c>
      <c r="BY1385">
        <v>15120.53</v>
      </c>
      <c r="CA1385">
        <v>9401036069087</v>
      </c>
      <c r="CC1385" t="s">
        <v>303</v>
      </c>
      <c r="CD1385" s="5" t="s">
        <v>1233</v>
      </c>
      <c r="CE1385" t="s">
        <v>134</v>
      </c>
      <c r="CF1385" s="3">
        <v>46002</v>
      </c>
      <c r="CI1385">
        <v>1</v>
      </c>
      <c r="CJ1385">
        <v>1</v>
      </c>
      <c r="CK1385">
        <v>21</v>
      </c>
      <c r="CL1385" t="s">
        <v>87</v>
      </c>
    </row>
    <row r="1386" spans="1:90" x14ac:dyDescent="0.3">
      <c r="A1386" t="s">
        <v>72</v>
      </c>
      <c r="B1386" t="s">
        <v>73</v>
      </c>
      <c r="C1386" t="s">
        <v>74</v>
      </c>
      <c r="E1386" t="str">
        <f>"080069819050"</f>
        <v>080069819050</v>
      </c>
      <c r="F1386" s="3">
        <v>46001</v>
      </c>
      <c r="G1386">
        <v>202609</v>
      </c>
      <c r="H1386" t="s">
        <v>75</v>
      </c>
      <c r="I1386" t="s">
        <v>76</v>
      </c>
      <c r="J1386" t="s">
        <v>77</v>
      </c>
      <c r="K1386" t="s">
        <v>78</v>
      </c>
      <c r="L1386" t="s">
        <v>148</v>
      </c>
      <c r="M1386" t="s">
        <v>149</v>
      </c>
      <c r="N1386" t="s">
        <v>150</v>
      </c>
      <c r="O1386" t="s">
        <v>89</v>
      </c>
      <c r="P1386" t="str">
        <f>"4170072842                    "</f>
        <v xml:space="preserve">4170072842                    </v>
      </c>
      <c r="Q1386">
        <v>0</v>
      </c>
      <c r="R1386">
        <v>0</v>
      </c>
      <c r="S1386">
        <v>0</v>
      </c>
      <c r="T1386">
        <v>0</v>
      </c>
      <c r="U1386">
        <v>0</v>
      </c>
      <c r="V1386">
        <v>0</v>
      </c>
      <c r="W1386">
        <v>0</v>
      </c>
      <c r="X1386">
        <v>0</v>
      </c>
      <c r="Y1386">
        <v>0</v>
      </c>
      <c r="Z1386">
        <v>0</v>
      </c>
      <c r="AA1386">
        <v>0</v>
      </c>
      <c r="AB1386">
        <v>0</v>
      </c>
      <c r="AC1386">
        <v>0</v>
      </c>
      <c r="AD1386">
        <v>0</v>
      </c>
      <c r="AE1386">
        <v>0</v>
      </c>
      <c r="AF1386">
        <v>0</v>
      </c>
      <c r="AG1386">
        <v>0</v>
      </c>
      <c r="AH1386">
        <v>0</v>
      </c>
      <c r="AI1386">
        <v>0</v>
      </c>
      <c r="AJ1386">
        <v>0</v>
      </c>
      <c r="AK1386">
        <v>0</v>
      </c>
      <c r="AL1386">
        <v>0</v>
      </c>
      <c r="AM1386">
        <v>0</v>
      </c>
      <c r="AN1386">
        <v>0</v>
      </c>
      <c r="AO1386">
        <v>0</v>
      </c>
      <c r="AP1386">
        <v>0</v>
      </c>
      <c r="AQ1386">
        <v>49.45</v>
      </c>
      <c r="AR1386">
        <v>0</v>
      </c>
      <c r="AS1386">
        <v>0</v>
      </c>
      <c r="AT1386">
        <v>0</v>
      </c>
      <c r="AU1386">
        <v>0</v>
      </c>
      <c r="AV1386">
        <v>0</v>
      </c>
      <c r="AW1386">
        <v>0</v>
      </c>
      <c r="AX1386">
        <v>0</v>
      </c>
      <c r="AY1386">
        <v>0</v>
      </c>
      <c r="AZ1386">
        <v>0</v>
      </c>
      <c r="BA1386">
        <v>0</v>
      </c>
      <c r="BB1386">
        <v>0</v>
      </c>
      <c r="BC1386">
        <v>0</v>
      </c>
      <c r="BD1386">
        <v>0</v>
      </c>
      <c r="BE1386">
        <v>0</v>
      </c>
      <c r="BF1386">
        <v>0</v>
      </c>
      <c r="BG1386">
        <v>0</v>
      </c>
      <c r="BH1386">
        <v>1</v>
      </c>
      <c r="BI1386">
        <v>0.2</v>
      </c>
      <c r="BJ1386">
        <v>1.7</v>
      </c>
      <c r="BK1386">
        <v>2</v>
      </c>
      <c r="BL1386">
        <v>147.38</v>
      </c>
      <c r="BM1386">
        <v>22.11</v>
      </c>
      <c r="BN1386">
        <v>169.49</v>
      </c>
      <c r="BO1386">
        <v>169.49</v>
      </c>
      <c r="BQ1386" t="s">
        <v>151</v>
      </c>
      <c r="BR1386" t="s">
        <v>82</v>
      </c>
      <c r="BS1386" s="3">
        <v>46002</v>
      </c>
      <c r="BT1386" s="4">
        <v>0.77222222222222225</v>
      </c>
      <c r="BU1386" t="s">
        <v>2039</v>
      </c>
      <c r="BV1386" t="s">
        <v>87</v>
      </c>
      <c r="BY1386">
        <v>8509.82</v>
      </c>
      <c r="CA1386" t="s">
        <v>155</v>
      </c>
      <c r="CC1386" t="s">
        <v>149</v>
      </c>
      <c r="CD1386">
        <v>7300</v>
      </c>
      <c r="CE1386" t="s">
        <v>134</v>
      </c>
      <c r="CI1386">
        <v>1</v>
      </c>
      <c r="CJ1386">
        <v>1</v>
      </c>
      <c r="CK1386">
        <v>23</v>
      </c>
      <c r="CL1386" t="s">
        <v>87</v>
      </c>
    </row>
    <row r="1387" spans="1:90" x14ac:dyDescent="0.3">
      <c r="A1387" t="s">
        <v>72</v>
      </c>
      <c r="B1387" t="s">
        <v>73</v>
      </c>
      <c r="C1387" t="s">
        <v>74</v>
      </c>
      <c r="E1387" t="str">
        <f>"080069819096"</f>
        <v>080069819096</v>
      </c>
      <c r="F1387" s="3">
        <v>46001</v>
      </c>
      <c r="G1387">
        <v>202609</v>
      </c>
      <c r="H1387" t="s">
        <v>75</v>
      </c>
      <c r="I1387" t="s">
        <v>76</v>
      </c>
      <c r="J1387" t="s">
        <v>77</v>
      </c>
      <c r="K1387" t="s">
        <v>78</v>
      </c>
      <c r="L1387" t="s">
        <v>2081</v>
      </c>
      <c r="M1387" t="s">
        <v>2082</v>
      </c>
      <c r="N1387" t="s">
        <v>2083</v>
      </c>
      <c r="O1387" t="s">
        <v>89</v>
      </c>
      <c r="P1387" t="str">
        <f>"4170072859                    "</f>
        <v xml:space="preserve">4170072859                    </v>
      </c>
      <c r="Q1387">
        <v>0</v>
      </c>
      <c r="R1387">
        <v>0</v>
      </c>
      <c r="S1387">
        <v>0</v>
      </c>
      <c r="T1387">
        <v>0</v>
      </c>
      <c r="U1387">
        <v>0</v>
      </c>
      <c r="V1387">
        <v>0</v>
      </c>
      <c r="W1387">
        <v>0</v>
      </c>
      <c r="X1387">
        <v>0</v>
      </c>
      <c r="Y1387">
        <v>0</v>
      </c>
      <c r="Z1387">
        <v>0</v>
      </c>
      <c r="AA1387">
        <v>0</v>
      </c>
      <c r="AB1387">
        <v>0</v>
      </c>
      <c r="AC1387">
        <v>0</v>
      </c>
      <c r="AD1387">
        <v>0</v>
      </c>
      <c r="AE1387">
        <v>0</v>
      </c>
      <c r="AF1387">
        <v>0</v>
      </c>
      <c r="AG1387">
        <v>0</v>
      </c>
      <c r="AH1387">
        <v>0</v>
      </c>
      <c r="AI1387">
        <v>0</v>
      </c>
      <c r="AJ1387">
        <v>0</v>
      </c>
      <c r="AK1387">
        <v>0</v>
      </c>
      <c r="AL1387">
        <v>0</v>
      </c>
      <c r="AM1387">
        <v>0</v>
      </c>
      <c r="AN1387">
        <v>0</v>
      </c>
      <c r="AO1387">
        <v>0</v>
      </c>
      <c r="AP1387">
        <v>0</v>
      </c>
      <c r="AQ1387">
        <v>49.45</v>
      </c>
      <c r="AR1387">
        <v>0</v>
      </c>
      <c r="AS1387">
        <v>0</v>
      </c>
      <c r="AT1387">
        <v>0</v>
      </c>
      <c r="AU1387">
        <v>0</v>
      </c>
      <c r="AV1387">
        <v>0</v>
      </c>
      <c r="AW1387">
        <v>0</v>
      </c>
      <c r="AX1387">
        <v>0</v>
      </c>
      <c r="AY1387">
        <v>0</v>
      </c>
      <c r="AZ1387">
        <v>0</v>
      </c>
      <c r="BA1387">
        <v>0</v>
      </c>
      <c r="BB1387">
        <v>0</v>
      </c>
      <c r="BC1387">
        <v>0</v>
      </c>
      <c r="BD1387">
        <v>0</v>
      </c>
      <c r="BE1387">
        <v>0</v>
      </c>
      <c r="BF1387">
        <v>0</v>
      </c>
      <c r="BG1387">
        <v>0</v>
      </c>
      <c r="BH1387">
        <v>1</v>
      </c>
      <c r="BI1387">
        <v>0.2</v>
      </c>
      <c r="BJ1387">
        <v>1.1000000000000001</v>
      </c>
      <c r="BK1387">
        <v>1.5</v>
      </c>
      <c r="BL1387">
        <v>147.38</v>
      </c>
      <c r="BM1387">
        <v>22.11</v>
      </c>
      <c r="BN1387">
        <v>169.49</v>
      </c>
      <c r="BO1387">
        <v>169.49</v>
      </c>
      <c r="BQ1387" t="s">
        <v>2084</v>
      </c>
      <c r="BR1387" t="s">
        <v>82</v>
      </c>
      <c r="BS1387" s="3">
        <v>46002</v>
      </c>
      <c r="BT1387" s="4">
        <v>0.47847222222222224</v>
      </c>
      <c r="BU1387" t="s">
        <v>2085</v>
      </c>
      <c r="BV1387" t="s">
        <v>84</v>
      </c>
      <c r="BY1387">
        <v>5612.7</v>
      </c>
      <c r="CA1387">
        <v>8311185604082</v>
      </c>
      <c r="CC1387" t="s">
        <v>2082</v>
      </c>
      <c r="CD1387">
        <v>2380</v>
      </c>
      <c r="CE1387" t="s">
        <v>134</v>
      </c>
      <c r="CI1387">
        <v>1</v>
      </c>
      <c r="CJ1387">
        <v>1</v>
      </c>
      <c r="CK1387">
        <v>23</v>
      </c>
      <c r="CL1387" t="s">
        <v>87</v>
      </c>
    </row>
    <row r="1388" spans="1:90" x14ac:dyDescent="0.3">
      <c r="A1388" t="s">
        <v>72</v>
      </c>
      <c r="B1388" t="s">
        <v>73</v>
      </c>
      <c r="C1388" t="s">
        <v>74</v>
      </c>
      <c r="E1388" t="str">
        <f>"080069819148"</f>
        <v>080069819148</v>
      </c>
      <c r="F1388" s="3">
        <v>46001</v>
      </c>
      <c r="G1388">
        <v>202609</v>
      </c>
      <c r="H1388" t="s">
        <v>75</v>
      </c>
      <c r="I1388" t="s">
        <v>76</v>
      </c>
      <c r="J1388" t="s">
        <v>77</v>
      </c>
      <c r="K1388" t="s">
        <v>78</v>
      </c>
      <c r="L1388" t="s">
        <v>75</v>
      </c>
      <c r="M1388" t="s">
        <v>76</v>
      </c>
      <c r="N1388" t="s">
        <v>2086</v>
      </c>
      <c r="O1388" t="s">
        <v>89</v>
      </c>
      <c r="P1388" t="str">
        <f>"4170072864                    "</f>
        <v xml:space="preserve">4170072864                    </v>
      </c>
      <c r="Q1388">
        <v>0</v>
      </c>
      <c r="R1388">
        <v>0</v>
      </c>
      <c r="S1388">
        <v>0</v>
      </c>
      <c r="T1388">
        <v>0</v>
      </c>
      <c r="U1388">
        <v>0</v>
      </c>
      <c r="V1388">
        <v>0</v>
      </c>
      <c r="W1388">
        <v>0</v>
      </c>
      <c r="X1388">
        <v>0</v>
      </c>
      <c r="Y1388">
        <v>0</v>
      </c>
      <c r="Z1388">
        <v>0</v>
      </c>
      <c r="AA1388">
        <v>0</v>
      </c>
      <c r="AB1388">
        <v>0</v>
      </c>
      <c r="AC1388">
        <v>0</v>
      </c>
      <c r="AD1388">
        <v>0</v>
      </c>
      <c r="AE1388">
        <v>0</v>
      </c>
      <c r="AF1388">
        <v>0</v>
      </c>
      <c r="AG1388">
        <v>0</v>
      </c>
      <c r="AH1388">
        <v>0</v>
      </c>
      <c r="AI1388">
        <v>0</v>
      </c>
      <c r="AJ1388">
        <v>0</v>
      </c>
      <c r="AK1388">
        <v>0</v>
      </c>
      <c r="AL1388">
        <v>0</v>
      </c>
      <c r="AM1388">
        <v>0</v>
      </c>
      <c r="AN1388">
        <v>0</v>
      </c>
      <c r="AO1388">
        <v>0</v>
      </c>
      <c r="AP1388">
        <v>0</v>
      </c>
      <c r="AQ1388">
        <v>19.940000000000001</v>
      </c>
      <c r="AR1388">
        <v>0</v>
      </c>
      <c r="AS1388">
        <v>0</v>
      </c>
      <c r="AT1388">
        <v>0</v>
      </c>
      <c r="AU1388">
        <v>0</v>
      </c>
      <c r="AV1388">
        <v>0</v>
      </c>
      <c r="AW1388">
        <v>0</v>
      </c>
      <c r="AX1388">
        <v>0</v>
      </c>
      <c r="AY1388">
        <v>0</v>
      </c>
      <c r="AZ1388">
        <v>0</v>
      </c>
      <c r="BA1388">
        <v>0</v>
      </c>
      <c r="BB1388">
        <v>0</v>
      </c>
      <c r="BC1388">
        <v>0</v>
      </c>
      <c r="BD1388">
        <v>0</v>
      </c>
      <c r="BE1388">
        <v>0</v>
      </c>
      <c r="BF1388">
        <v>0</v>
      </c>
      <c r="BG1388">
        <v>0</v>
      </c>
      <c r="BH1388">
        <v>1</v>
      </c>
      <c r="BI1388">
        <v>1</v>
      </c>
      <c r="BJ1388">
        <v>0.2</v>
      </c>
      <c r="BK1388">
        <v>1</v>
      </c>
      <c r="BL1388">
        <v>59.42</v>
      </c>
      <c r="BM1388">
        <v>8.91</v>
      </c>
      <c r="BN1388">
        <v>68.33</v>
      </c>
      <c r="BO1388">
        <v>68.33</v>
      </c>
      <c r="BQ1388" t="s">
        <v>2087</v>
      </c>
      <c r="BR1388" t="s">
        <v>82</v>
      </c>
      <c r="BS1388" s="3">
        <v>46002</v>
      </c>
      <c r="BT1388" s="4">
        <v>0.33819444444444446</v>
      </c>
      <c r="BU1388" t="s">
        <v>506</v>
      </c>
      <c r="BV1388" t="s">
        <v>84</v>
      </c>
      <c r="BY1388">
        <v>1200</v>
      </c>
      <c r="CA1388" t="s">
        <v>763</v>
      </c>
      <c r="CC1388" t="s">
        <v>76</v>
      </c>
      <c r="CD1388">
        <v>1666</v>
      </c>
      <c r="CE1388" t="s">
        <v>134</v>
      </c>
      <c r="CF1388" s="3">
        <v>46003</v>
      </c>
      <c r="CI1388">
        <v>1</v>
      </c>
      <c r="CJ1388">
        <v>1</v>
      </c>
      <c r="CK1388">
        <v>22</v>
      </c>
      <c r="CL1388" t="s">
        <v>87</v>
      </c>
    </row>
    <row r="1389" spans="1:90" x14ac:dyDescent="0.3">
      <c r="A1389" t="s">
        <v>72</v>
      </c>
      <c r="B1389" t="s">
        <v>73</v>
      </c>
      <c r="C1389" t="s">
        <v>74</v>
      </c>
      <c r="E1389" t="str">
        <f>"080069819297"</f>
        <v>080069819297</v>
      </c>
      <c r="F1389" s="3">
        <v>46001</v>
      </c>
      <c r="G1389">
        <v>202609</v>
      </c>
      <c r="H1389" t="s">
        <v>75</v>
      </c>
      <c r="I1389" t="s">
        <v>76</v>
      </c>
      <c r="J1389" t="s">
        <v>77</v>
      </c>
      <c r="K1389" t="s">
        <v>78</v>
      </c>
      <c r="L1389" t="s">
        <v>75</v>
      </c>
      <c r="M1389" t="s">
        <v>76</v>
      </c>
      <c r="N1389" t="s">
        <v>195</v>
      </c>
      <c r="O1389" t="s">
        <v>89</v>
      </c>
      <c r="P1389" t="str">
        <f>"4170072771                    "</f>
        <v xml:space="preserve">4170072771                    </v>
      </c>
      <c r="Q1389">
        <v>0</v>
      </c>
      <c r="R1389">
        <v>0</v>
      </c>
      <c r="S1389">
        <v>0</v>
      </c>
      <c r="T1389">
        <v>0</v>
      </c>
      <c r="U1389">
        <v>0</v>
      </c>
      <c r="V1389">
        <v>0</v>
      </c>
      <c r="W1389">
        <v>0</v>
      </c>
      <c r="X1389">
        <v>0</v>
      </c>
      <c r="Y1389">
        <v>0</v>
      </c>
      <c r="Z1389">
        <v>0</v>
      </c>
      <c r="AA1389">
        <v>0</v>
      </c>
      <c r="AB1389">
        <v>0</v>
      </c>
      <c r="AC1389">
        <v>0</v>
      </c>
      <c r="AD1389">
        <v>0</v>
      </c>
      <c r="AE1389">
        <v>0</v>
      </c>
      <c r="AF1389">
        <v>0</v>
      </c>
      <c r="AG1389">
        <v>0</v>
      </c>
      <c r="AH1389">
        <v>0</v>
      </c>
      <c r="AI1389">
        <v>0</v>
      </c>
      <c r="AJ1389">
        <v>0</v>
      </c>
      <c r="AK1389">
        <v>0</v>
      </c>
      <c r="AL1389">
        <v>0</v>
      </c>
      <c r="AM1389">
        <v>0</v>
      </c>
      <c r="AN1389">
        <v>0</v>
      </c>
      <c r="AO1389">
        <v>0</v>
      </c>
      <c r="AP1389">
        <v>0</v>
      </c>
      <c r="AQ1389">
        <v>19.940000000000001</v>
      </c>
      <c r="AR1389">
        <v>0</v>
      </c>
      <c r="AS1389">
        <v>0</v>
      </c>
      <c r="AT1389">
        <v>0</v>
      </c>
      <c r="AU1389">
        <v>0</v>
      </c>
      <c r="AV1389">
        <v>0</v>
      </c>
      <c r="AW1389">
        <v>0</v>
      </c>
      <c r="AX1389">
        <v>0</v>
      </c>
      <c r="AY1389">
        <v>0</v>
      </c>
      <c r="AZ1389">
        <v>0</v>
      </c>
      <c r="BA1389">
        <v>0</v>
      </c>
      <c r="BB1389">
        <v>0</v>
      </c>
      <c r="BC1389">
        <v>0</v>
      </c>
      <c r="BD1389">
        <v>0</v>
      </c>
      <c r="BE1389">
        <v>0</v>
      </c>
      <c r="BF1389">
        <v>0</v>
      </c>
      <c r="BG1389">
        <v>0</v>
      </c>
      <c r="BH1389">
        <v>1</v>
      </c>
      <c r="BI1389">
        <v>0.8</v>
      </c>
      <c r="BJ1389">
        <v>3.3</v>
      </c>
      <c r="BK1389">
        <v>4</v>
      </c>
      <c r="BL1389">
        <v>59.42</v>
      </c>
      <c r="BM1389">
        <v>8.91</v>
      </c>
      <c r="BN1389">
        <v>68.33</v>
      </c>
      <c r="BO1389">
        <v>68.33</v>
      </c>
      <c r="BQ1389" t="s">
        <v>196</v>
      </c>
      <c r="BR1389" t="s">
        <v>82</v>
      </c>
      <c r="BS1389" s="3">
        <v>46002</v>
      </c>
      <c r="BT1389" s="4">
        <v>0.32291666666666669</v>
      </c>
      <c r="BU1389" t="s">
        <v>83</v>
      </c>
      <c r="BV1389" t="s">
        <v>84</v>
      </c>
      <c r="BY1389">
        <v>16395.259999999998</v>
      </c>
      <c r="CA1389" t="s">
        <v>92</v>
      </c>
      <c r="CC1389" t="s">
        <v>76</v>
      </c>
      <c r="CD1389">
        <v>1600</v>
      </c>
      <c r="CE1389" t="s">
        <v>134</v>
      </c>
      <c r="CF1389" s="3">
        <v>46003</v>
      </c>
      <c r="CI1389">
        <v>1</v>
      </c>
      <c r="CJ1389">
        <v>1</v>
      </c>
      <c r="CK1389">
        <v>22</v>
      </c>
      <c r="CL1389" t="s">
        <v>87</v>
      </c>
    </row>
    <row r="1390" spans="1:90" x14ac:dyDescent="0.3">
      <c r="A1390" t="s">
        <v>72</v>
      </c>
      <c r="B1390" t="s">
        <v>73</v>
      </c>
      <c r="C1390" t="s">
        <v>74</v>
      </c>
      <c r="E1390" t="str">
        <f>"080069819321"</f>
        <v>080069819321</v>
      </c>
      <c r="F1390" s="3">
        <v>46001</v>
      </c>
      <c r="G1390">
        <v>202609</v>
      </c>
      <c r="H1390" t="s">
        <v>75</v>
      </c>
      <c r="I1390" t="s">
        <v>76</v>
      </c>
      <c r="J1390" t="s">
        <v>77</v>
      </c>
      <c r="K1390" t="s">
        <v>78</v>
      </c>
      <c r="L1390" t="s">
        <v>189</v>
      </c>
      <c r="M1390" t="s">
        <v>190</v>
      </c>
      <c r="N1390" t="s">
        <v>191</v>
      </c>
      <c r="O1390" t="s">
        <v>89</v>
      </c>
      <c r="P1390" t="str">
        <f>"4170072871                    "</f>
        <v xml:space="preserve">4170072871                    </v>
      </c>
      <c r="Q1390">
        <v>0</v>
      </c>
      <c r="R1390">
        <v>0</v>
      </c>
      <c r="S1390">
        <v>0</v>
      </c>
      <c r="T1390">
        <v>0</v>
      </c>
      <c r="U1390">
        <v>0</v>
      </c>
      <c r="V1390">
        <v>0</v>
      </c>
      <c r="W1390">
        <v>0</v>
      </c>
      <c r="X1390">
        <v>0</v>
      </c>
      <c r="Y1390">
        <v>0</v>
      </c>
      <c r="Z1390">
        <v>0</v>
      </c>
      <c r="AA1390">
        <v>0</v>
      </c>
      <c r="AB1390">
        <v>0</v>
      </c>
      <c r="AC1390">
        <v>0</v>
      </c>
      <c r="AD1390">
        <v>0</v>
      </c>
      <c r="AE1390">
        <v>0</v>
      </c>
      <c r="AF1390">
        <v>0</v>
      </c>
      <c r="AG1390">
        <v>0</v>
      </c>
      <c r="AH1390">
        <v>0</v>
      </c>
      <c r="AI1390">
        <v>0</v>
      </c>
      <c r="AJ1390">
        <v>0</v>
      </c>
      <c r="AK1390">
        <v>0</v>
      </c>
      <c r="AL1390">
        <v>0</v>
      </c>
      <c r="AM1390">
        <v>0</v>
      </c>
      <c r="AN1390">
        <v>0</v>
      </c>
      <c r="AO1390">
        <v>0</v>
      </c>
      <c r="AP1390">
        <v>0</v>
      </c>
      <c r="AQ1390">
        <v>44.66</v>
      </c>
      <c r="AR1390">
        <v>0</v>
      </c>
      <c r="AS1390">
        <v>0</v>
      </c>
      <c r="AT1390">
        <v>0</v>
      </c>
      <c r="AU1390">
        <v>0</v>
      </c>
      <c r="AV1390">
        <v>0</v>
      </c>
      <c r="AW1390">
        <v>0</v>
      </c>
      <c r="AX1390">
        <v>0</v>
      </c>
      <c r="AY1390">
        <v>0</v>
      </c>
      <c r="AZ1390">
        <v>0</v>
      </c>
      <c r="BA1390">
        <v>0</v>
      </c>
      <c r="BB1390">
        <v>0</v>
      </c>
      <c r="BC1390">
        <v>0</v>
      </c>
      <c r="BD1390">
        <v>0</v>
      </c>
      <c r="BE1390">
        <v>0</v>
      </c>
      <c r="BF1390">
        <v>0</v>
      </c>
      <c r="BG1390">
        <v>0</v>
      </c>
      <c r="BH1390">
        <v>1</v>
      </c>
      <c r="BI1390">
        <v>2</v>
      </c>
      <c r="BJ1390">
        <v>3.2</v>
      </c>
      <c r="BK1390">
        <v>3.5</v>
      </c>
      <c r="BL1390">
        <v>133.09</v>
      </c>
      <c r="BM1390">
        <v>19.96</v>
      </c>
      <c r="BN1390">
        <v>153.05000000000001</v>
      </c>
      <c r="BO1390">
        <v>153.05000000000001</v>
      </c>
      <c r="BQ1390" t="s">
        <v>192</v>
      </c>
      <c r="BR1390" t="s">
        <v>82</v>
      </c>
      <c r="BS1390" s="3">
        <v>46002</v>
      </c>
      <c r="BT1390" s="4">
        <v>0.42291666666666666</v>
      </c>
      <c r="BU1390" t="s">
        <v>193</v>
      </c>
      <c r="BV1390" t="s">
        <v>84</v>
      </c>
      <c r="BY1390">
        <v>16184</v>
      </c>
      <c r="CA1390" t="s">
        <v>194</v>
      </c>
      <c r="CC1390" t="s">
        <v>190</v>
      </c>
      <c r="CD1390">
        <v>3201</v>
      </c>
      <c r="CE1390" t="s">
        <v>229</v>
      </c>
      <c r="CI1390">
        <v>1</v>
      </c>
      <c r="CJ1390">
        <v>1</v>
      </c>
      <c r="CK1390">
        <v>21</v>
      </c>
      <c r="CL1390" t="s">
        <v>87</v>
      </c>
    </row>
    <row r="1391" spans="1:90" x14ac:dyDescent="0.3">
      <c r="A1391" t="s">
        <v>72</v>
      </c>
      <c r="B1391" t="s">
        <v>73</v>
      </c>
      <c r="C1391" t="s">
        <v>74</v>
      </c>
      <c r="E1391" t="str">
        <f>"080069819362"</f>
        <v>080069819362</v>
      </c>
      <c r="F1391" s="3">
        <v>46001</v>
      </c>
      <c r="G1391">
        <v>202609</v>
      </c>
      <c r="H1391" t="s">
        <v>75</v>
      </c>
      <c r="I1391" t="s">
        <v>76</v>
      </c>
      <c r="J1391" t="s">
        <v>77</v>
      </c>
      <c r="K1391" t="s">
        <v>78</v>
      </c>
      <c r="L1391" t="s">
        <v>302</v>
      </c>
      <c r="M1391" t="s">
        <v>303</v>
      </c>
      <c r="N1391" t="s">
        <v>249</v>
      </c>
      <c r="O1391" t="s">
        <v>89</v>
      </c>
      <c r="P1391" t="str">
        <f>"4170072856                    "</f>
        <v xml:space="preserve">4170072856                    </v>
      </c>
      <c r="Q1391">
        <v>0</v>
      </c>
      <c r="R1391">
        <v>0</v>
      </c>
      <c r="S1391">
        <v>0</v>
      </c>
      <c r="T1391">
        <v>0</v>
      </c>
      <c r="U1391">
        <v>0</v>
      </c>
      <c r="V1391">
        <v>0</v>
      </c>
      <c r="W1391">
        <v>0</v>
      </c>
      <c r="X1391">
        <v>0</v>
      </c>
      <c r="Y1391">
        <v>0</v>
      </c>
      <c r="Z1391">
        <v>0</v>
      </c>
      <c r="AA1391">
        <v>0</v>
      </c>
      <c r="AB1391">
        <v>0</v>
      </c>
      <c r="AC1391">
        <v>0</v>
      </c>
      <c r="AD1391">
        <v>0</v>
      </c>
      <c r="AE1391">
        <v>0</v>
      </c>
      <c r="AF1391">
        <v>0</v>
      </c>
      <c r="AG1391">
        <v>0</v>
      </c>
      <c r="AH1391">
        <v>0</v>
      </c>
      <c r="AI1391">
        <v>0</v>
      </c>
      <c r="AJ1391">
        <v>0</v>
      </c>
      <c r="AK1391">
        <v>0</v>
      </c>
      <c r="AL1391">
        <v>0</v>
      </c>
      <c r="AM1391">
        <v>0</v>
      </c>
      <c r="AN1391">
        <v>0</v>
      </c>
      <c r="AO1391">
        <v>0</v>
      </c>
      <c r="AP1391">
        <v>0</v>
      </c>
      <c r="AQ1391">
        <v>25.52</v>
      </c>
      <c r="AR1391">
        <v>0</v>
      </c>
      <c r="AS1391">
        <v>0</v>
      </c>
      <c r="AT1391">
        <v>0</v>
      </c>
      <c r="AU1391">
        <v>0</v>
      </c>
      <c r="AV1391">
        <v>0</v>
      </c>
      <c r="AW1391">
        <v>0</v>
      </c>
      <c r="AX1391">
        <v>0</v>
      </c>
      <c r="AY1391">
        <v>0</v>
      </c>
      <c r="AZ1391">
        <v>0</v>
      </c>
      <c r="BA1391">
        <v>0</v>
      </c>
      <c r="BB1391">
        <v>0</v>
      </c>
      <c r="BC1391">
        <v>0</v>
      </c>
      <c r="BD1391">
        <v>0</v>
      </c>
      <c r="BE1391">
        <v>0</v>
      </c>
      <c r="BF1391">
        <v>0</v>
      </c>
      <c r="BG1391">
        <v>0</v>
      </c>
      <c r="BH1391">
        <v>1</v>
      </c>
      <c r="BI1391">
        <v>0.5</v>
      </c>
      <c r="BJ1391">
        <v>1.3</v>
      </c>
      <c r="BK1391">
        <v>1.5</v>
      </c>
      <c r="BL1391">
        <v>76.06</v>
      </c>
      <c r="BM1391">
        <v>11.41</v>
      </c>
      <c r="BN1391">
        <v>87.47</v>
      </c>
      <c r="BO1391">
        <v>87.47</v>
      </c>
      <c r="BQ1391" t="s">
        <v>250</v>
      </c>
      <c r="BR1391" t="s">
        <v>82</v>
      </c>
      <c r="BS1391" s="3">
        <v>46002</v>
      </c>
      <c r="BT1391" s="4">
        <v>0.4375</v>
      </c>
      <c r="BU1391" t="s">
        <v>2088</v>
      </c>
      <c r="BV1391" t="s">
        <v>84</v>
      </c>
      <c r="BY1391">
        <v>6748</v>
      </c>
      <c r="CA1391">
        <v>8201095431082</v>
      </c>
      <c r="CC1391" t="s">
        <v>303</v>
      </c>
      <c r="CD1391" s="5" t="s">
        <v>2089</v>
      </c>
      <c r="CE1391" t="s">
        <v>86</v>
      </c>
      <c r="CF1391" s="3">
        <v>46002</v>
      </c>
      <c r="CI1391">
        <v>1</v>
      </c>
      <c r="CJ1391">
        <v>1</v>
      </c>
      <c r="CK1391">
        <v>21</v>
      </c>
      <c r="CL1391" t="s">
        <v>87</v>
      </c>
    </row>
    <row r="1392" spans="1:90" x14ac:dyDescent="0.3">
      <c r="A1392" t="s">
        <v>72</v>
      </c>
      <c r="B1392" t="s">
        <v>73</v>
      </c>
      <c r="C1392" t="s">
        <v>74</v>
      </c>
      <c r="E1392" t="str">
        <f>"080069819421"</f>
        <v>080069819421</v>
      </c>
      <c r="F1392" s="3">
        <v>46001</v>
      </c>
      <c r="G1392">
        <v>202609</v>
      </c>
      <c r="H1392" t="s">
        <v>75</v>
      </c>
      <c r="I1392" t="s">
        <v>76</v>
      </c>
      <c r="J1392" t="s">
        <v>77</v>
      </c>
      <c r="K1392" t="s">
        <v>78</v>
      </c>
      <c r="L1392" t="s">
        <v>189</v>
      </c>
      <c r="M1392" t="s">
        <v>190</v>
      </c>
      <c r="N1392" t="s">
        <v>656</v>
      </c>
      <c r="O1392" t="s">
        <v>89</v>
      </c>
      <c r="P1392" t="str">
        <f>"4170072775                    "</f>
        <v xml:space="preserve">4170072775                    </v>
      </c>
      <c r="Q1392">
        <v>0</v>
      </c>
      <c r="R1392">
        <v>0</v>
      </c>
      <c r="S1392">
        <v>0</v>
      </c>
      <c r="T1392">
        <v>0</v>
      </c>
      <c r="U1392">
        <v>0</v>
      </c>
      <c r="V1392">
        <v>0</v>
      </c>
      <c r="W1392">
        <v>0</v>
      </c>
      <c r="X1392">
        <v>0</v>
      </c>
      <c r="Y1392">
        <v>0</v>
      </c>
      <c r="Z1392">
        <v>0</v>
      </c>
      <c r="AA1392">
        <v>0</v>
      </c>
      <c r="AB1392">
        <v>0</v>
      </c>
      <c r="AC1392">
        <v>0</v>
      </c>
      <c r="AD1392">
        <v>0</v>
      </c>
      <c r="AE1392">
        <v>0</v>
      </c>
      <c r="AF1392">
        <v>0</v>
      </c>
      <c r="AG1392">
        <v>0</v>
      </c>
      <c r="AH1392">
        <v>0</v>
      </c>
      <c r="AI1392">
        <v>0</v>
      </c>
      <c r="AJ1392">
        <v>0</v>
      </c>
      <c r="AK1392">
        <v>0</v>
      </c>
      <c r="AL1392">
        <v>0</v>
      </c>
      <c r="AM1392">
        <v>0</v>
      </c>
      <c r="AN1392">
        <v>0</v>
      </c>
      <c r="AO1392">
        <v>0</v>
      </c>
      <c r="AP1392">
        <v>0</v>
      </c>
      <c r="AQ1392">
        <v>63.79</v>
      </c>
      <c r="AR1392">
        <v>0</v>
      </c>
      <c r="AS1392">
        <v>0</v>
      </c>
      <c r="AT1392">
        <v>0</v>
      </c>
      <c r="AU1392">
        <v>0</v>
      </c>
      <c r="AV1392">
        <v>0</v>
      </c>
      <c r="AW1392">
        <v>17.41</v>
      </c>
      <c r="AX1392">
        <v>0</v>
      </c>
      <c r="AY1392">
        <v>0</v>
      </c>
      <c r="AZ1392">
        <v>0</v>
      </c>
      <c r="BA1392">
        <v>0</v>
      </c>
      <c r="BB1392">
        <v>0</v>
      </c>
      <c r="BC1392">
        <v>0</v>
      </c>
      <c r="BD1392">
        <v>0</v>
      </c>
      <c r="BE1392">
        <v>0</v>
      </c>
      <c r="BF1392">
        <v>0</v>
      </c>
      <c r="BG1392">
        <v>0</v>
      </c>
      <c r="BH1392">
        <v>1</v>
      </c>
      <c r="BI1392">
        <v>2</v>
      </c>
      <c r="BJ1392">
        <v>4.9000000000000004</v>
      </c>
      <c r="BK1392">
        <v>5</v>
      </c>
      <c r="BL1392">
        <v>207.52</v>
      </c>
      <c r="BM1392">
        <v>31.13</v>
      </c>
      <c r="BN1392">
        <v>238.65</v>
      </c>
      <c r="BO1392">
        <v>238.65</v>
      </c>
      <c r="BQ1392" t="s">
        <v>657</v>
      </c>
      <c r="BR1392" t="s">
        <v>82</v>
      </c>
      <c r="BS1392" s="3">
        <v>46002</v>
      </c>
      <c r="BT1392" s="4">
        <v>0.4861111111111111</v>
      </c>
      <c r="BU1392" t="s">
        <v>2090</v>
      </c>
      <c r="BV1392" t="s">
        <v>84</v>
      </c>
      <c r="BY1392">
        <v>24365.43</v>
      </c>
      <c r="BZ1392" t="s">
        <v>30</v>
      </c>
      <c r="CA1392" t="s">
        <v>311</v>
      </c>
      <c r="CC1392" t="s">
        <v>190</v>
      </c>
      <c r="CD1392">
        <v>3699</v>
      </c>
      <c r="CE1392" t="s">
        <v>229</v>
      </c>
      <c r="CI1392">
        <v>1</v>
      </c>
      <c r="CJ1392">
        <v>1</v>
      </c>
      <c r="CK1392">
        <v>21</v>
      </c>
      <c r="CL1392" t="s">
        <v>87</v>
      </c>
    </row>
    <row r="1393" spans="1:90" x14ac:dyDescent="0.3">
      <c r="A1393" t="s">
        <v>72</v>
      </c>
      <c r="B1393" t="s">
        <v>73</v>
      </c>
      <c r="C1393" t="s">
        <v>74</v>
      </c>
      <c r="E1393" t="str">
        <f>"080069819513"</f>
        <v>080069819513</v>
      </c>
      <c r="F1393" s="3">
        <v>46001</v>
      </c>
      <c r="G1393">
        <v>202609</v>
      </c>
      <c r="H1393" t="s">
        <v>75</v>
      </c>
      <c r="I1393" t="s">
        <v>76</v>
      </c>
      <c r="J1393" t="s">
        <v>77</v>
      </c>
      <c r="K1393" t="s">
        <v>78</v>
      </c>
      <c r="L1393" t="s">
        <v>94</v>
      </c>
      <c r="M1393" t="s">
        <v>95</v>
      </c>
      <c r="N1393" t="s">
        <v>1351</v>
      </c>
      <c r="O1393" t="s">
        <v>89</v>
      </c>
      <c r="P1393" t="str">
        <f>"4170072855                    "</f>
        <v xml:space="preserve">4170072855                    </v>
      </c>
      <c r="Q1393">
        <v>0</v>
      </c>
      <c r="R1393">
        <v>0</v>
      </c>
      <c r="S1393">
        <v>0</v>
      </c>
      <c r="T1393">
        <v>0</v>
      </c>
      <c r="U1393">
        <v>0</v>
      </c>
      <c r="V1393">
        <v>0</v>
      </c>
      <c r="W1393">
        <v>0</v>
      </c>
      <c r="X1393">
        <v>0</v>
      </c>
      <c r="Y1393">
        <v>0</v>
      </c>
      <c r="Z1393">
        <v>0</v>
      </c>
      <c r="AA1393">
        <v>0</v>
      </c>
      <c r="AB1393">
        <v>0</v>
      </c>
      <c r="AC1393">
        <v>0</v>
      </c>
      <c r="AD1393">
        <v>0</v>
      </c>
      <c r="AE1393">
        <v>0</v>
      </c>
      <c r="AF1393">
        <v>0</v>
      </c>
      <c r="AG1393">
        <v>0</v>
      </c>
      <c r="AH1393">
        <v>0</v>
      </c>
      <c r="AI1393">
        <v>0</v>
      </c>
      <c r="AJ1393">
        <v>0</v>
      </c>
      <c r="AK1393">
        <v>0</v>
      </c>
      <c r="AL1393">
        <v>0</v>
      </c>
      <c r="AM1393">
        <v>0</v>
      </c>
      <c r="AN1393">
        <v>0</v>
      </c>
      <c r="AO1393">
        <v>0</v>
      </c>
      <c r="AP1393">
        <v>0</v>
      </c>
      <c r="AQ1393">
        <v>25.52</v>
      </c>
      <c r="AR1393">
        <v>0</v>
      </c>
      <c r="AS1393">
        <v>0</v>
      </c>
      <c r="AT1393">
        <v>0</v>
      </c>
      <c r="AU1393">
        <v>0</v>
      </c>
      <c r="AV1393">
        <v>0</v>
      </c>
      <c r="AW1393">
        <v>0</v>
      </c>
      <c r="AX1393">
        <v>0</v>
      </c>
      <c r="AY1393">
        <v>0</v>
      </c>
      <c r="AZ1393">
        <v>0</v>
      </c>
      <c r="BA1393">
        <v>0</v>
      </c>
      <c r="BB1393">
        <v>0</v>
      </c>
      <c r="BC1393">
        <v>0</v>
      </c>
      <c r="BD1393">
        <v>0</v>
      </c>
      <c r="BE1393">
        <v>0</v>
      </c>
      <c r="BF1393">
        <v>0</v>
      </c>
      <c r="BG1393">
        <v>0</v>
      </c>
      <c r="BH1393">
        <v>1</v>
      </c>
      <c r="BI1393">
        <v>2</v>
      </c>
      <c r="BJ1393">
        <v>1.1000000000000001</v>
      </c>
      <c r="BK1393">
        <v>2</v>
      </c>
      <c r="BL1393">
        <v>76.06</v>
      </c>
      <c r="BM1393">
        <v>11.41</v>
      </c>
      <c r="BN1393">
        <v>87.47</v>
      </c>
      <c r="BO1393">
        <v>87.47</v>
      </c>
      <c r="BQ1393" t="s">
        <v>1352</v>
      </c>
      <c r="BR1393" t="s">
        <v>82</v>
      </c>
      <c r="BS1393" s="3">
        <v>46002</v>
      </c>
      <c r="BT1393" s="4">
        <v>0.41736111111111113</v>
      </c>
      <c r="BU1393" t="s">
        <v>1353</v>
      </c>
      <c r="BV1393" t="s">
        <v>84</v>
      </c>
      <c r="BY1393">
        <v>5320</v>
      </c>
      <c r="CA1393" t="s">
        <v>929</v>
      </c>
      <c r="CC1393" t="s">
        <v>95</v>
      </c>
      <c r="CD1393">
        <v>3610</v>
      </c>
      <c r="CE1393" t="s">
        <v>86</v>
      </c>
      <c r="CF1393" s="3">
        <v>46002</v>
      </c>
      <c r="CI1393">
        <v>1</v>
      </c>
      <c r="CJ1393">
        <v>1</v>
      </c>
      <c r="CK1393">
        <v>21</v>
      </c>
      <c r="CL1393" t="s">
        <v>87</v>
      </c>
    </row>
    <row r="1394" spans="1:90" x14ac:dyDescent="0.3">
      <c r="A1394" t="s">
        <v>72</v>
      </c>
      <c r="B1394" t="s">
        <v>73</v>
      </c>
      <c r="C1394" t="s">
        <v>74</v>
      </c>
      <c r="E1394" t="str">
        <f>"080069819551"</f>
        <v>080069819551</v>
      </c>
      <c r="F1394" s="3">
        <v>46001</v>
      </c>
      <c r="G1394">
        <v>202609</v>
      </c>
      <c r="H1394" t="s">
        <v>75</v>
      </c>
      <c r="I1394" t="s">
        <v>76</v>
      </c>
      <c r="J1394" t="s">
        <v>77</v>
      </c>
      <c r="K1394" t="s">
        <v>78</v>
      </c>
      <c r="L1394" t="s">
        <v>176</v>
      </c>
      <c r="M1394" t="s">
        <v>177</v>
      </c>
      <c r="N1394" t="s">
        <v>2091</v>
      </c>
      <c r="O1394" t="s">
        <v>340</v>
      </c>
      <c r="P1394" t="str">
        <f>"4170072920                    "</f>
        <v xml:space="preserve">4170072920                    </v>
      </c>
      <c r="Q1394">
        <v>0</v>
      </c>
      <c r="R1394">
        <v>0</v>
      </c>
      <c r="S1394">
        <v>0</v>
      </c>
      <c r="T1394">
        <v>0</v>
      </c>
      <c r="U1394">
        <v>0</v>
      </c>
      <c r="V1394">
        <v>0</v>
      </c>
      <c r="W1394">
        <v>0</v>
      </c>
      <c r="X1394">
        <v>0</v>
      </c>
      <c r="Y1394">
        <v>0</v>
      </c>
      <c r="Z1394">
        <v>0</v>
      </c>
      <c r="AA1394">
        <v>0</v>
      </c>
      <c r="AB1394">
        <v>0</v>
      </c>
      <c r="AC1394">
        <v>0</v>
      </c>
      <c r="AD1394">
        <v>0</v>
      </c>
      <c r="AE1394">
        <v>0</v>
      </c>
      <c r="AF1394">
        <v>0</v>
      </c>
      <c r="AG1394">
        <v>0</v>
      </c>
      <c r="AH1394">
        <v>0</v>
      </c>
      <c r="AI1394">
        <v>0</v>
      </c>
      <c r="AJ1394">
        <v>0</v>
      </c>
      <c r="AK1394">
        <v>0</v>
      </c>
      <c r="AL1394">
        <v>0</v>
      </c>
      <c r="AM1394">
        <v>0</v>
      </c>
      <c r="AN1394">
        <v>0</v>
      </c>
      <c r="AO1394">
        <v>0</v>
      </c>
      <c r="AP1394">
        <v>0</v>
      </c>
      <c r="AQ1394">
        <v>19.940000000000001</v>
      </c>
      <c r="AR1394">
        <v>0</v>
      </c>
      <c r="AS1394">
        <v>0</v>
      </c>
      <c r="AT1394">
        <v>0</v>
      </c>
      <c r="AU1394">
        <v>0</v>
      </c>
      <c r="AV1394">
        <v>0</v>
      </c>
      <c r="AW1394">
        <v>0</v>
      </c>
      <c r="AX1394">
        <v>0</v>
      </c>
      <c r="AY1394">
        <v>0</v>
      </c>
      <c r="AZ1394">
        <v>0</v>
      </c>
      <c r="BA1394">
        <v>0</v>
      </c>
      <c r="BB1394">
        <v>0</v>
      </c>
      <c r="BC1394">
        <v>0</v>
      </c>
      <c r="BD1394">
        <v>0</v>
      </c>
      <c r="BE1394">
        <v>0</v>
      </c>
      <c r="BF1394">
        <v>0</v>
      </c>
      <c r="BG1394">
        <v>0</v>
      </c>
      <c r="BH1394">
        <v>1</v>
      </c>
      <c r="BI1394">
        <v>5</v>
      </c>
      <c r="BJ1394">
        <v>7.2</v>
      </c>
      <c r="BK1394">
        <v>8</v>
      </c>
      <c r="BL1394">
        <v>59.43</v>
      </c>
      <c r="BM1394">
        <v>8.91</v>
      </c>
      <c r="BN1394">
        <v>68.34</v>
      </c>
      <c r="BO1394">
        <v>68.34</v>
      </c>
      <c r="BQ1394" t="s">
        <v>2092</v>
      </c>
      <c r="BR1394" t="s">
        <v>82</v>
      </c>
      <c r="BS1394" s="3">
        <v>46002</v>
      </c>
      <c r="BT1394" s="4">
        <v>0.34722222222222221</v>
      </c>
      <c r="BU1394" t="s">
        <v>2093</v>
      </c>
      <c r="BV1394" t="s">
        <v>84</v>
      </c>
      <c r="BY1394">
        <v>36000</v>
      </c>
      <c r="CC1394" t="s">
        <v>177</v>
      </c>
      <c r="CD1394">
        <v>2013</v>
      </c>
      <c r="CE1394" t="s">
        <v>86</v>
      </c>
      <c r="CF1394" s="3">
        <v>46003</v>
      </c>
      <c r="CI1394">
        <v>1</v>
      </c>
      <c r="CJ1394">
        <v>1</v>
      </c>
      <c r="CK1394">
        <v>32</v>
      </c>
      <c r="CL1394" t="s">
        <v>87</v>
      </c>
    </row>
    <row r="1395" spans="1:90" x14ac:dyDescent="0.3">
      <c r="A1395" t="s">
        <v>72</v>
      </c>
      <c r="B1395" t="s">
        <v>73</v>
      </c>
      <c r="C1395" t="s">
        <v>74</v>
      </c>
      <c r="E1395" t="str">
        <f>"080069819600"</f>
        <v>080069819600</v>
      </c>
      <c r="F1395" s="3">
        <v>46001</v>
      </c>
      <c r="G1395">
        <v>202609</v>
      </c>
      <c r="H1395" t="s">
        <v>75</v>
      </c>
      <c r="I1395" t="s">
        <v>76</v>
      </c>
      <c r="J1395" t="s">
        <v>77</v>
      </c>
      <c r="K1395" t="s">
        <v>78</v>
      </c>
      <c r="L1395" t="s">
        <v>75</v>
      </c>
      <c r="M1395" t="s">
        <v>76</v>
      </c>
      <c r="N1395" t="s">
        <v>88</v>
      </c>
      <c r="O1395" t="s">
        <v>340</v>
      </c>
      <c r="P1395" t="str">
        <f>"4170072922                    "</f>
        <v xml:space="preserve">4170072922                    </v>
      </c>
      <c r="Q1395">
        <v>0</v>
      </c>
      <c r="R1395">
        <v>0</v>
      </c>
      <c r="S1395">
        <v>0</v>
      </c>
      <c r="T1395">
        <v>0</v>
      </c>
      <c r="U1395">
        <v>0</v>
      </c>
      <c r="V1395">
        <v>0</v>
      </c>
      <c r="W1395">
        <v>0</v>
      </c>
      <c r="X1395">
        <v>0</v>
      </c>
      <c r="Y1395">
        <v>0</v>
      </c>
      <c r="Z1395">
        <v>0</v>
      </c>
      <c r="AA1395">
        <v>0</v>
      </c>
      <c r="AB1395">
        <v>0</v>
      </c>
      <c r="AC1395">
        <v>0</v>
      </c>
      <c r="AD1395">
        <v>0</v>
      </c>
      <c r="AE1395">
        <v>0</v>
      </c>
      <c r="AF1395">
        <v>0</v>
      </c>
      <c r="AG1395">
        <v>0</v>
      </c>
      <c r="AH1395">
        <v>0</v>
      </c>
      <c r="AI1395">
        <v>0</v>
      </c>
      <c r="AJ1395">
        <v>0</v>
      </c>
      <c r="AK1395">
        <v>0</v>
      </c>
      <c r="AL1395">
        <v>0</v>
      </c>
      <c r="AM1395">
        <v>0</v>
      </c>
      <c r="AN1395">
        <v>0</v>
      </c>
      <c r="AO1395">
        <v>0</v>
      </c>
      <c r="AP1395">
        <v>0</v>
      </c>
      <c r="AQ1395">
        <v>28.89</v>
      </c>
      <c r="AR1395">
        <v>0</v>
      </c>
      <c r="AS1395">
        <v>0</v>
      </c>
      <c r="AT1395">
        <v>0</v>
      </c>
      <c r="AU1395">
        <v>0</v>
      </c>
      <c r="AV1395">
        <v>0</v>
      </c>
      <c r="AW1395">
        <v>0</v>
      </c>
      <c r="AX1395">
        <v>0</v>
      </c>
      <c r="AY1395">
        <v>0</v>
      </c>
      <c r="AZ1395">
        <v>0</v>
      </c>
      <c r="BA1395">
        <v>0</v>
      </c>
      <c r="BB1395">
        <v>0</v>
      </c>
      <c r="BC1395">
        <v>0</v>
      </c>
      <c r="BD1395">
        <v>0</v>
      </c>
      <c r="BE1395">
        <v>0</v>
      </c>
      <c r="BF1395">
        <v>0</v>
      </c>
      <c r="BG1395">
        <v>0</v>
      </c>
      <c r="BH1395">
        <v>1</v>
      </c>
      <c r="BI1395">
        <v>10</v>
      </c>
      <c r="BJ1395">
        <v>12</v>
      </c>
      <c r="BK1395">
        <v>12</v>
      </c>
      <c r="BL1395">
        <v>86.1</v>
      </c>
      <c r="BM1395">
        <v>12.92</v>
      </c>
      <c r="BN1395">
        <v>99.02</v>
      </c>
      <c r="BO1395">
        <v>99.02</v>
      </c>
      <c r="BQ1395" t="s">
        <v>90</v>
      </c>
      <c r="BR1395" t="s">
        <v>82</v>
      </c>
      <c r="BS1395" s="3">
        <v>46002</v>
      </c>
      <c r="BT1395" s="4">
        <v>0.2951388888888889</v>
      </c>
      <c r="BU1395" t="s">
        <v>91</v>
      </c>
      <c r="BV1395" t="s">
        <v>84</v>
      </c>
      <c r="BY1395">
        <v>60000</v>
      </c>
      <c r="CA1395" t="s">
        <v>92</v>
      </c>
      <c r="CC1395" t="s">
        <v>76</v>
      </c>
      <c r="CD1395">
        <v>1600</v>
      </c>
      <c r="CE1395" t="s">
        <v>86</v>
      </c>
      <c r="CF1395" s="3">
        <v>46003</v>
      </c>
      <c r="CI1395">
        <v>1</v>
      </c>
      <c r="CJ1395">
        <v>1</v>
      </c>
      <c r="CK1395">
        <v>32</v>
      </c>
      <c r="CL1395" t="s">
        <v>87</v>
      </c>
    </row>
    <row r="1396" spans="1:90" x14ac:dyDescent="0.3">
      <c r="A1396" t="s">
        <v>72</v>
      </c>
      <c r="B1396" t="s">
        <v>73</v>
      </c>
      <c r="C1396" t="s">
        <v>74</v>
      </c>
      <c r="E1396" t="str">
        <f>"080069819658"</f>
        <v>080069819658</v>
      </c>
      <c r="F1396" s="3">
        <v>46001</v>
      </c>
      <c r="G1396">
        <v>202609</v>
      </c>
      <c r="H1396" t="s">
        <v>75</v>
      </c>
      <c r="I1396" t="s">
        <v>76</v>
      </c>
      <c r="J1396" t="s">
        <v>77</v>
      </c>
      <c r="K1396" t="s">
        <v>78</v>
      </c>
      <c r="L1396" t="s">
        <v>218</v>
      </c>
      <c r="M1396" t="s">
        <v>219</v>
      </c>
      <c r="N1396" t="s">
        <v>220</v>
      </c>
      <c r="O1396" t="s">
        <v>89</v>
      </c>
      <c r="P1396" t="str">
        <f>"4170072870                    "</f>
        <v xml:space="preserve">4170072870                    </v>
      </c>
      <c r="Q1396">
        <v>0</v>
      </c>
      <c r="R1396">
        <v>0</v>
      </c>
      <c r="S1396">
        <v>0</v>
      </c>
      <c r="T1396">
        <v>0</v>
      </c>
      <c r="U1396">
        <v>0</v>
      </c>
      <c r="V1396">
        <v>0</v>
      </c>
      <c r="W1396">
        <v>0</v>
      </c>
      <c r="X1396">
        <v>0</v>
      </c>
      <c r="Y1396">
        <v>0</v>
      </c>
      <c r="Z1396">
        <v>0</v>
      </c>
      <c r="AA1396">
        <v>0</v>
      </c>
      <c r="AB1396">
        <v>0</v>
      </c>
      <c r="AC1396">
        <v>0</v>
      </c>
      <c r="AD1396">
        <v>0</v>
      </c>
      <c r="AE1396">
        <v>0</v>
      </c>
      <c r="AF1396">
        <v>0</v>
      </c>
      <c r="AG1396">
        <v>0</v>
      </c>
      <c r="AH1396">
        <v>0</v>
      </c>
      <c r="AI1396">
        <v>0</v>
      </c>
      <c r="AJ1396">
        <v>0</v>
      </c>
      <c r="AK1396">
        <v>0</v>
      </c>
      <c r="AL1396">
        <v>0</v>
      </c>
      <c r="AM1396">
        <v>0</v>
      </c>
      <c r="AN1396">
        <v>0</v>
      </c>
      <c r="AO1396">
        <v>0</v>
      </c>
      <c r="AP1396">
        <v>0</v>
      </c>
      <c r="AQ1396">
        <v>228.1</v>
      </c>
      <c r="AR1396">
        <v>0</v>
      </c>
      <c r="AS1396">
        <v>0</v>
      </c>
      <c r="AT1396">
        <v>0</v>
      </c>
      <c r="AU1396">
        <v>0</v>
      </c>
      <c r="AV1396">
        <v>0</v>
      </c>
      <c r="AW1396">
        <v>0</v>
      </c>
      <c r="AX1396">
        <v>0</v>
      </c>
      <c r="AY1396">
        <v>0</v>
      </c>
      <c r="AZ1396">
        <v>0</v>
      </c>
      <c r="BA1396">
        <v>0</v>
      </c>
      <c r="BB1396">
        <v>0</v>
      </c>
      <c r="BC1396">
        <v>0</v>
      </c>
      <c r="BD1396">
        <v>0</v>
      </c>
      <c r="BE1396">
        <v>0</v>
      </c>
      <c r="BF1396">
        <v>0</v>
      </c>
      <c r="BG1396">
        <v>0</v>
      </c>
      <c r="BH1396">
        <v>1</v>
      </c>
      <c r="BI1396">
        <v>5.6</v>
      </c>
      <c r="BJ1396">
        <v>10</v>
      </c>
      <c r="BK1396">
        <v>10</v>
      </c>
      <c r="BL1396">
        <v>679.79</v>
      </c>
      <c r="BM1396">
        <v>101.97</v>
      </c>
      <c r="BN1396">
        <v>781.76</v>
      </c>
      <c r="BO1396">
        <v>781.76</v>
      </c>
      <c r="BQ1396" t="s">
        <v>221</v>
      </c>
      <c r="BR1396" t="s">
        <v>82</v>
      </c>
      <c r="BS1396" s="3">
        <v>46002</v>
      </c>
      <c r="BT1396" s="4">
        <v>0.3125</v>
      </c>
      <c r="BU1396" t="s">
        <v>222</v>
      </c>
      <c r="BV1396" t="s">
        <v>84</v>
      </c>
      <c r="BY1396">
        <v>50225.83</v>
      </c>
      <c r="CC1396" t="s">
        <v>219</v>
      </c>
      <c r="CD1396">
        <v>2740</v>
      </c>
      <c r="CE1396" t="s">
        <v>93</v>
      </c>
      <c r="CI1396">
        <v>1</v>
      </c>
      <c r="CJ1396">
        <v>1</v>
      </c>
      <c r="CK1396">
        <v>23</v>
      </c>
      <c r="CL1396" t="s">
        <v>87</v>
      </c>
    </row>
    <row r="1397" spans="1:90" x14ac:dyDescent="0.3">
      <c r="A1397" t="s">
        <v>72</v>
      </c>
      <c r="B1397" t="s">
        <v>73</v>
      </c>
      <c r="C1397" t="s">
        <v>74</v>
      </c>
      <c r="E1397" t="str">
        <f>"080069819706"</f>
        <v>080069819706</v>
      </c>
      <c r="F1397" s="3">
        <v>46001</v>
      </c>
      <c r="G1397">
        <v>202609</v>
      </c>
      <c r="H1397" t="s">
        <v>75</v>
      </c>
      <c r="I1397" t="s">
        <v>76</v>
      </c>
      <c r="J1397" t="s">
        <v>77</v>
      </c>
      <c r="K1397" t="s">
        <v>78</v>
      </c>
      <c r="L1397" t="s">
        <v>265</v>
      </c>
      <c r="M1397" t="s">
        <v>266</v>
      </c>
      <c r="N1397" t="s">
        <v>2094</v>
      </c>
      <c r="O1397" t="s">
        <v>89</v>
      </c>
      <c r="P1397" t="str">
        <f>"4170072892                    "</f>
        <v xml:space="preserve">4170072892                    </v>
      </c>
      <c r="Q1397">
        <v>0</v>
      </c>
      <c r="R1397">
        <v>0</v>
      </c>
      <c r="S1397">
        <v>0</v>
      </c>
      <c r="T1397">
        <v>0</v>
      </c>
      <c r="U1397">
        <v>0</v>
      </c>
      <c r="V1397">
        <v>0</v>
      </c>
      <c r="W1397">
        <v>0</v>
      </c>
      <c r="X1397">
        <v>0</v>
      </c>
      <c r="Y1397">
        <v>0</v>
      </c>
      <c r="Z1397">
        <v>0</v>
      </c>
      <c r="AA1397">
        <v>0</v>
      </c>
      <c r="AB1397">
        <v>0</v>
      </c>
      <c r="AC1397">
        <v>0</v>
      </c>
      <c r="AD1397">
        <v>0</v>
      </c>
      <c r="AE1397">
        <v>0</v>
      </c>
      <c r="AF1397">
        <v>0</v>
      </c>
      <c r="AG1397">
        <v>0</v>
      </c>
      <c r="AH1397">
        <v>0</v>
      </c>
      <c r="AI1397">
        <v>0</v>
      </c>
      <c r="AJ1397">
        <v>0</v>
      </c>
      <c r="AK1397">
        <v>0</v>
      </c>
      <c r="AL1397">
        <v>0</v>
      </c>
      <c r="AM1397">
        <v>0</v>
      </c>
      <c r="AN1397">
        <v>0</v>
      </c>
      <c r="AO1397">
        <v>0</v>
      </c>
      <c r="AP1397">
        <v>0</v>
      </c>
      <c r="AQ1397">
        <v>19.940000000000001</v>
      </c>
      <c r="AR1397">
        <v>0</v>
      </c>
      <c r="AS1397">
        <v>0</v>
      </c>
      <c r="AT1397">
        <v>0</v>
      </c>
      <c r="AU1397">
        <v>0</v>
      </c>
      <c r="AV1397">
        <v>0</v>
      </c>
      <c r="AW1397">
        <v>0</v>
      </c>
      <c r="AX1397">
        <v>0</v>
      </c>
      <c r="AY1397">
        <v>0</v>
      </c>
      <c r="AZ1397">
        <v>0</v>
      </c>
      <c r="BA1397">
        <v>0</v>
      </c>
      <c r="BB1397">
        <v>0</v>
      </c>
      <c r="BC1397">
        <v>0</v>
      </c>
      <c r="BD1397">
        <v>0</v>
      </c>
      <c r="BE1397">
        <v>0</v>
      </c>
      <c r="BF1397">
        <v>0</v>
      </c>
      <c r="BG1397">
        <v>0</v>
      </c>
      <c r="BH1397">
        <v>1</v>
      </c>
      <c r="BI1397">
        <v>3.6</v>
      </c>
      <c r="BJ1397">
        <v>1</v>
      </c>
      <c r="BK1397">
        <v>4</v>
      </c>
      <c r="BL1397">
        <v>59.42</v>
      </c>
      <c r="BM1397">
        <v>8.91</v>
      </c>
      <c r="BN1397">
        <v>68.33</v>
      </c>
      <c r="BO1397">
        <v>68.33</v>
      </c>
      <c r="BQ1397" t="s">
        <v>2095</v>
      </c>
      <c r="BR1397" t="s">
        <v>82</v>
      </c>
      <c r="BS1397" t="s">
        <v>500</v>
      </c>
      <c r="BY1397">
        <v>4763.49</v>
      </c>
      <c r="CC1397" t="s">
        <v>266</v>
      </c>
      <c r="CD1397">
        <v>1460</v>
      </c>
      <c r="CE1397" t="s">
        <v>86</v>
      </c>
      <c r="CI1397">
        <v>1</v>
      </c>
      <c r="CJ1397" t="s">
        <v>500</v>
      </c>
      <c r="CK1397">
        <v>22</v>
      </c>
      <c r="CL1397" t="s">
        <v>87</v>
      </c>
    </row>
    <row r="1398" spans="1:90" x14ac:dyDescent="0.3">
      <c r="A1398" t="s">
        <v>72</v>
      </c>
      <c r="B1398" t="s">
        <v>73</v>
      </c>
      <c r="C1398" t="s">
        <v>74</v>
      </c>
      <c r="E1398" t="str">
        <f>"080069819900"</f>
        <v>080069819900</v>
      </c>
      <c r="F1398" s="3">
        <v>46001</v>
      </c>
      <c r="G1398">
        <v>202609</v>
      </c>
      <c r="H1398" t="s">
        <v>75</v>
      </c>
      <c r="I1398" t="s">
        <v>76</v>
      </c>
      <c r="J1398" t="s">
        <v>77</v>
      </c>
      <c r="K1398" t="s">
        <v>78</v>
      </c>
      <c r="L1398" t="s">
        <v>75</v>
      </c>
      <c r="M1398" t="s">
        <v>76</v>
      </c>
      <c r="N1398" t="s">
        <v>2096</v>
      </c>
      <c r="O1398" t="s">
        <v>89</v>
      </c>
      <c r="P1398" t="str">
        <f>"4170072773                    "</f>
        <v xml:space="preserve">4170072773                    </v>
      </c>
      <c r="Q1398">
        <v>0</v>
      </c>
      <c r="R1398">
        <v>0</v>
      </c>
      <c r="S1398">
        <v>0</v>
      </c>
      <c r="T1398">
        <v>0</v>
      </c>
      <c r="U1398">
        <v>0</v>
      </c>
      <c r="V1398">
        <v>0</v>
      </c>
      <c r="W1398">
        <v>0</v>
      </c>
      <c r="X1398">
        <v>0</v>
      </c>
      <c r="Y1398">
        <v>0</v>
      </c>
      <c r="Z1398">
        <v>0</v>
      </c>
      <c r="AA1398">
        <v>0</v>
      </c>
      <c r="AB1398">
        <v>0</v>
      </c>
      <c r="AC1398">
        <v>0</v>
      </c>
      <c r="AD1398">
        <v>0</v>
      </c>
      <c r="AE1398">
        <v>0</v>
      </c>
      <c r="AF1398">
        <v>0</v>
      </c>
      <c r="AG1398">
        <v>0</v>
      </c>
      <c r="AH1398">
        <v>0</v>
      </c>
      <c r="AI1398">
        <v>0</v>
      </c>
      <c r="AJ1398">
        <v>0</v>
      </c>
      <c r="AK1398">
        <v>0</v>
      </c>
      <c r="AL1398">
        <v>0</v>
      </c>
      <c r="AM1398">
        <v>0</v>
      </c>
      <c r="AN1398">
        <v>0</v>
      </c>
      <c r="AO1398">
        <v>0</v>
      </c>
      <c r="AP1398">
        <v>0</v>
      </c>
      <c r="AQ1398">
        <v>19.940000000000001</v>
      </c>
      <c r="AR1398">
        <v>0</v>
      </c>
      <c r="AS1398">
        <v>0</v>
      </c>
      <c r="AT1398">
        <v>0</v>
      </c>
      <c r="AU1398">
        <v>0</v>
      </c>
      <c r="AV1398">
        <v>0</v>
      </c>
      <c r="AW1398">
        <v>0</v>
      </c>
      <c r="AX1398">
        <v>0</v>
      </c>
      <c r="AY1398">
        <v>0</v>
      </c>
      <c r="AZ1398">
        <v>0</v>
      </c>
      <c r="BA1398">
        <v>0</v>
      </c>
      <c r="BB1398">
        <v>0</v>
      </c>
      <c r="BC1398">
        <v>0</v>
      </c>
      <c r="BD1398">
        <v>0</v>
      </c>
      <c r="BE1398">
        <v>0</v>
      </c>
      <c r="BF1398">
        <v>0</v>
      </c>
      <c r="BG1398">
        <v>0</v>
      </c>
      <c r="BH1398">
        <v>1</v>
      </c>
      <c r="BI1398">
        <v>2.7</v>
      </c>
      <c r="BJ1398">
        <v>1.4</v>
      </c>
      <c r="BK1398">
        <v>3</v>
      </c>
      <c r="BL1398">
        <v>59.42</v>
      </c>
      <c r="BM1398">
        <v>8.91</v>
      </c>
      <c r="BN1398">
        <v>68.33</v>
      </c>
      <c r="BO1398">
        <v>68.33</v>
      </c>
      <c r="BQ1398" t="s">
        <v>2097</v>
      </c>
      <c r="BR1398" t="s">
        <v>82</v>
      </c>
      <c r="BS1398" s="3">
        <v>46002</v>
      </c>
      <c r="BT1398" s="4">
        <v>0.4375</v>
      </c>
      <c r="BU1398" t="s">
        <v>2098</v>
      </c>
      <c r="BV1398" t="s">
        <v>84</v>
      </c>
      <c r="BY1398">
        <v>6847.26</v>
      </c>
      <c r="CC1398" t="s">
        <v>76</v>
      </c>
      <c r="CD1398">
        <v>1609</v>
      </c>
      <c r="CE1398" t="s">
        <v>86</v>
      </c>
      <c r="CI1398">
        <v>1</v>
      </c>
      <c r="CJ1398">
        <v>1</v>
      </c>
      <c r="CK1398">
        <v>22</v>
      </c>
      <c r="CL1398" t="s">
        <v>87</v>
      </c>
    </row>
    <row r="1399" spans="1:90" x14ac:dyDescent="0.3">
      <c r="A1399" t="s">
        <v>72</v>
      </c>
      <c r="B1399" t="s">
        <v>73</v>
      </c>
      <c r="C1399" t="s">
        <v>74</v>
      </c>
      <c r="E1399" t="str">
        <f>"080069819945"</f>
        <v>080069819945</v>
      </c>
      <c r="F1399" s="3">
        <v>46001</v>
      </c>
      <c r="G1399">
        <v>202609</v>
      </c>
      <c r="H1399" t="s">
        <v>75</v>
      </c>
      <c r="I1399" t="s">
        <v>76</v>
      </c>
      <c r="J1399" t="s">
        <v>77</v>
      </c>
      <c r="K1399" t="s">
        <v>78</v>
      </c>
      <c r="L1399" t="s">
        <v>302</v>
      </c>
      <c r="M1399" t="s">
        <v>303</v>
      </c>
      <c r="N1399" t="s">
        <v>678</v>
      </c>
      <c r="O1399" t="s">
        <v>89</v>
      </c>
      <c r="P1399" t="str">
        <f>"4170072807                    "</f>
        <v xml:space="preserve">4170072807                    </v>
      </c>
      <c r="Q1399">
        <v>0</v>
      </c>
      <c r="R1399">
        <v>0</v>
      </c>
      <c r="S1399">
        <v>0</v>
      </c>
      <c r="T1399">
        <v>0</v>
      </c>
      <c r="U1399">
        <v>0</v>
      </c>
      <c r="V1399">
        <v>0</v>
      </c>
      <c r="W1399">
        <v>0</v>
      </c>
      <c r="X1399">
        <v>0</v>
      </c>
      <c r="Y1399">
        <v>0</v>
      </c>
      <c r="Z1399">
        <v>0</v>
      </c>
      <c r="AA1399">
        <v>0</v>
      </c>
      <c r="AB1399">
        <v>0</v>
      </c>
      <c r="AC1399">
        <v>0</v>
      </c>
      <c r="AD1399">
        <v>0</v>
      </c>
      <c r="AE1399">
        <v>0</v>
      </c>
      <c r="AF1399">
        <v>0</v>
      </c>
      <c r="AG1399">
        <v>0</v>
      </c>
      <c r="AH1399">
        <v>0</v>
      </c>
      <c r="AI1399">
        <v>0</v>
      </c>
      <c r="AJ1399">
        <v>0</v>
      </c>
      <c r="AK1399">
        <v>0</v>
      </c>
      <c r="AL1399">
        <v>0</v>
      </c>
      <c r="AM1399">
        <v>0</v>
      </c>
      <c r="AN1399">
        <v>0</v>
      </c>
      <c r="AO1399">
        <v>0</v>
      </c>
      <c r="AP1399">
        <v>0</v>
      </c>
      <c r="AQ1399">
        <v>31.9</v>
      </c>
      <c r="AR1399">
        <v>0</v>
      </c>
      <c r="AS1399">
        <v>0</v>
      </c>
      <c r="AT1399">
        <v>0</v>
      </c>
      <c r="AU1399">
        <v>0</v>
      </c>
      <c r="AV1399">
        <v>0</v>
      </c>
      <c r="AW1399">
        <v>0</v>
      </c>
      <c r="AX1399">
        <v>0</v>
      </c>
      <c r="AY1399">
        <v>0</v>
      </c>
      <c r="AZ1399">
        <v>0</v>
      </c>
      <c r="BA1399">
        <v>0</v>
      </c>
      <c r="BB1399">
        <v>0</v>
      </c>
      <c r="BC1399">
        <v>0</v>
      </c>
      <c r="BD1399">
        <v>0</v>
      </c>
      <c r="BE1399">
        <v>0</v>
      </c>
      <c r="BF1399">
        <v>0</v>
      </c>
      <c r="BG1399">
        <v>0</v>
      </c>
      <c r="BH1399">
        <v>1</v>
      </c>
      <c r="BI1399">
        <v>2.1</v>
      </c>
      <c r="BJ1399">
        <v>1.5</v>
      </c>
      <c r="BK1399">
        <v>2.5</v>
      </c>
      <c r="BL1399">
        <v>95.07</v>
      </c>
      <c r="BM1399">
        <v>14.26</v>
      </c>
      <c r="BN1399">
        <v>109.33</v>
      </c>
      <c r="BO1399">
        <v>109.33</v>
      </c>
      <c r="BQ1399" t="s">
        <v>1222</v>
      </c>
      <c r="BR1399" t="s">
        <v>82</v>
      </c>
      <c r="BS1399" s="3">
        <v>46002</v>
      </c>
      <c r="BT1399" s="4">
        <v>0.42291666666666666</v>
      </c>
      <c r="BU1399" t="s">
        <v>2099</v>
      </c>
      <c r="BV1399" t="s">
        <v>84</v>
      </c>
      <c r="BY1399">
        <v>7646</v>
      </c>
      <c r="CA1399">
        <v>8303236124087</v>
      </c>
      <c r="CC1399" t="s">
        <v>303</v>
      </c>
      <c r="CD1399" s="5" t="s">
        <v>307</v>
      </c>
      <c r="CE1399" t="s">
        <v>86</v>
      </c>
      <c r="CF1399" s="3">
        <v>46002</v>
      </c>
      <c r="CI1399">
        <v>1</v>
      </c>
      <c r="CJ1399">
        <v>1</v>
      </c>
      <c r="CK1399">
        <v>21</v>
      </c>
      <c r="CL1399" t="s">
        <v>87</v>
      </c>
    </row>
    <row r="1400" spans="1:90" x14ac:dyDescent="0.3">
      <c r="A1400" t="s">
        <v>72</v>
      </c>
      <c r="B1400" t="s">
        <v>73</v>
      </c>
      <c r="C1400" t="s">
        <v>74</v>
      </c>
      <c r="E1400" t="str">
        <f>"080069820003"</f>
        <v>080069820003</v>
      </c>
      <c r="F1400" s="3">
        <v>46001</v>
      </c>
      <c r="G1400">
        <v>202609</v>
      </c>
      <c r="H1400" t="s">
        <v>75</v>
      </c>
      <c r="I1400" t="s">
        <v>76</v>
      </c>
      <c r="J1400" t="s">
        <v>77</v>
      </c>
      <c r="K1400" t="s">
        <v>78</v>
      </c>
      <c r="L1400" t="s">
        <v>100</v>
      </c>
      <c r="M1400" t="s">
        <v>101</v>
      </c>
      <c r="N1400" t="s">
        <v>1367</v>
      </c>
      <c r="O1400" t="s">
        <v>89</v>
      </c>
      <c r="P1400" t="str">
        <f>"4170072888                    "</f>
        <v xml:space="preserve">4170072888                    </v>
      </c>
      <c r="Q1400">
        <v>0</v>
      </c>
      <c r="R1400">
        <v>0</v>
      </c>
      <c r="S1400">
        <v>0</v>
      </c>
      <c r="T1400">
        <v>0</v>
      </c>
      <c r="U1400">
        <v>0</v>
      </c>
      <c r="V1400">
        <v>0</v>
      </c>
      <c r="W1400">
        <v>0</v>
      </c>
      <c r="X1400">
        <v>0</v>
      </c>
      <c r="Y1400">
        <v>0</v>
      </c>
      <c r="Z1400">
        <v>0</v>
      </c>
      <c r="AA1400">
        <v>0</v>
      </c>
      <c r="AB1400">
        <v>0</v>
      </c>
      <c r="AC1400">
        <v>0</v>
      </c>
      <c r="AD1400">
        <v>0</v>
      </c>
      <c r="AE1400">
        <v>0</v>
      </c>
      <c r="AF1400">
        <v>0</v>
      </c>
      <c r="AG1400">
        <v>0</v>
      </c>
      <c r="AH1400">
        <v>0</v>
      </c>
      <c r="AI1400">
        <v>0</v>
      </c>
      <c r="AJ1400">
        <v>0</v>
      </c>
      <c r="AK1400">
        <v>0</v>
      </c>
      <c r="AL1400">
        <v>0</v>
      </c>
      <c r="AM1400">
        <v>0</v>
      </c>
      <c r="AN1400">
        <v>0</v>
      </c>
      <c r="AO1400">
        <v>0</v>
      </c>
      <c r="AP1400">
        <v>0</v>
      </c>
      <c r="AQ1400">
        <v>70.17</v>
      </c>
      <c r="AR1400">
        <v>0</v>
      </c>
      <c r="AS1400">
        <v>0</v>
      </c>
      <c r="AT1400">
        <v>0</v>
      </c>
      <c r="AU1400">
        <v>0</v>
      </c>
      <c r="AV1400">
        <v>0</v>
      </c>
      <c r="AW1400">
        <v>0</v>
      </c>
      <c r="AX1400">
        <v>0</v>
      </c>
      <c r="AY1400">
        <v>0</v>
      </c>
      <c r="AZ1400">
        <v>0</v>
      </c>
      <c r="BA1400">
        <v>0</v>
      </c>
      <c r="BB1400">
        <v>0</v>
      </c>
      <c r="BC1400">
        <v>0</v>
      </c>
      <c r="BD1400">
        <v>0</v>
      </c>
      <c r="BE1400">
        <v>0</v>
      </c>
      <c r="BF1400">
        <v>0</v>
      </c>
      <c r="BG1400">
        <v>0</v>
      </c>
      <c r="BH1400">
        <v>1</v>
      </c>
      <c r="BI1400">
        <v>5.3</v>
      </c>
      <c r="BJ1400">
        <v>1.6</v>
      </c>
      <c r="BK1400">
        <v>5.5</v>
      </c>
      <c r="BL1400">
        <v>209.12</v>
      </c>
      <c r="BM1400">
        <v>31.37</v>
      </c>
      <c r="BN1400">
        <v>240.49</v>
      </c>
      <c r="BO1400">
        <v>240.49</v>
      </c>
      <c r="BQ1400" t="s">
        <v>1429</v>
      </c>
      <c r="BR1400" t="s">
        <v>82</v>
      </c>
      <c r="BS1400" s="3">
        <v>46002</v>
      </c>
      <c r="BT1400" s="4">
        <v>0.39861111111111114</v>
      </c>
      <c r="BU1400" t="s">
        <v>2100</v>
      </c>
      <c r="BV1400" t="s">
        <v>84</v>
      </c>
      <c r="BY1400">
        <v>7900.04</v>
      </c>
      <c r="CA1400" t="s">
        <v>1070</v>
      </c>
      <c r="CC1400" t="s">
        <v>101</v>
      </c>
      <c r="CD1400">
        <v>4001</v>
      </c>
      <c r="CE1400" t="s">
        <v>86</v>
      </c>
      <c r="CF1400" s="3">
        <v>46002</v>
      </c>
      <c r="CI1400">
        <v>1</v>
      </c>
      <c r="CJ1400">
        <v>1</v>
      </c>
      <c r="CK1400">
        <v>21</v>
      </c>
      <c r="CL1400" t="s">
        <v>87</v>
      </c>
    </row>
    <row r="1401" spans="1:90" x14ac:dyDescent="0.3">
      <c r="A1401" t="s">
        <v>72</v>
      </c>
      <c r="B1401" t="s">
        <v>73</v>
      </c>
      <c r="C1401" t="s">
        <v>74</v>
      </c>
      <c r="E1401" t="str">
        <f>"080069820034"</f>
        <v>080069820034</v>
      </c>
      <c r="F1401" s="3">
        <v>46001</v>
      </c>
      <c r="G1401">
        <v>202609</v>
      </c>
      <c r="H1401" t="s">
        <v>75</v>
      </c>
      <c r="I1401" t="s">
        <v>76</v>
      </c>
      <c r="J1401" t="s">
        <v>77</v>
      </c>
      <c r="K1401" t="s">
        <v>78</v>
      </c>
      <c r="L1401" t="s">
        <v>141</v>
      </c>
      <c r="M1401" t="s">
        <v>142</v>
      </c>
      <c r="N1401" t="s">
        <v>637</v>
      </c>
      <c r="O1401" t="s">
        <v>89</v>
      </c>
      <c r="P1401" t="str">
        <f>"4170072886                    "</f>
        <v xml:space="preserve">4170072886                    </v>
      </c>
      <c r="Q1401">
        <v>0</v>
      </c>
      <c r="R1401">
        <v>0</v>
      </c>
      <c r="S1401">
        <v>0</v>
      </c>
      <c r="T1401">
        <v>0</v>
      </c>
      <c r="U1401">
        <v>0</v>
      </c>
      <c r="V1401">
        <v>0</v>
      </c>
      <c r="W1401">
        <v>0</v>
      </c>
      <c r="X1401">
        <v>0</v>
      </c>
      <c r="Y1401">
        <v>0</v>
      </c>
      <c r="Z1401">
        <v>0</v>
      </c>
      <c r="AA1401">
        <v>0</v>
      </c>
      <c r="AB1401">
        <v>0</v>
      </c>
      <c r="AC1401">
        <v>0</v>
      </c>
      <c r="AD1401">
        <v>0</v>
      </c>
      <c r="AE1401">
        <v>0</v>
      </c>
      <c r="AF1401">
        <v>0</v>
      </c>
      <c r="AG1401">
        <v>0</v>
      </c>
      <c r="AH1401">
        <v>0</v>
      </c>
      <c r="AI1401">
        <v>0</v>
      </c>
      <c r="AJ1401">
        <v>0</v>
      </c>
      <c r="AK1401">
        <v>0</v>
      </c>
      <c r="AL1401">
        <v>0</v>
      </c>
      <c r="AM1401">
        <v>0</v>
      </c>
      <c r="AN1401">
        <v>0</v>
      </c>
      <c r="AO1401">
        <v>0</v>
      </c>
      <c r="AP1401">
        <v>0</v>
      </c>
      <c r="AQ1401">
        <v>38.28</v>
      </c>
      <c r="AR1401">
        <v>0</v>
      </c>
      <c r="AS1401">
        <v>0</v>
      </c>
      <c r="AT1401">
        <v>0</v>
      </c>
      <c r="AU1401">
        <v>0</v>
      </c>
      <c r="AV1401">
        <v>0</v>
      </c>
      <c r="AW1401">
        <v>0</v>
      </c>
      <c r="AX1401">
        <v>0</v>
      </c>
      <c r="AY1401">
        <v>0</v>
      </c>
      <c r="AZ1401">
        <v>0</v>
      </c>
      <c r="BA1401">
        <v>0</v>
      </c>
      <c r="BB1401">
        <v>0</v>
      </c>
      <c r="BC1401">
        <v>0</v>
      </c>
      <c r="BD1401">
        <v>0</v>
      </c>
      <c r="BE1401">
        <v>0</v>
      </c>
      <c r="BF1401">
        <v>0</v>
      </c>
      <c r="BG1401">
        <v>0</v>
      </c>
      <c r="BH1401">
        <v>1</v>
      </c>
      <c r="BI1401">
        <v>1.2</v>
      </c>
      <c r="BJ1401">
        <v>3</v>
      </c>
      <c r="BK1401">
        <v>3</v>
      </c>
      <c r="BL1401">
        <v>114.08</v>
      </c>
      <c r="BM1401">
        <v>17.11</v>
      </c>
      <c r="BN1401">
        <v>131.19</v>
      </c>
      <c r="BO1401">
        <v>131.19</v>
      </c>
      <c r="BQ1401" t="s">
        <v>638</v>
      </c>
      <c r="BR1401" t="s">
        <v>82</v>
      </c>
      <c r="BS1401" s="3">
        <v>46002</v>
      </c>
      <c r="BT1401" s="4">
        <v>0.4</v>
      </c>
      <c r="BU1401" t="s">
        <v>1660</v>
      </c>
      <c r="BV1401" t="s">
        <v>84</v>
      </c>
      <c r="BY1401">
        <v>15135.1</v>
      </c>
      <c r="CA1401" t="s">
        <v>489</v>
      </c>
      <c r="CC1401" t="s">
        <v>142</v>
      </c>
      <c r="CD1401">
        <v>6001</v>
      </c>
      <c r="CE1401" t="s">
        <v>134</v>
      </c>
      <c r="CF1401" s="3">
        <v>46002</v>
      </c>
      <c r="CI1401">
        <v>1</v>
      </c>
      <c r="CJ1401">
        <v>1</v>
      </c>
      <c r="CK1401">
        <v>21</v>
      </c>
      <c r="CL1401" t="s">
        <v>87</v>
      </c>
    </row>
    <row r="1402" spans="1:90" x14ac:dyDescent="0.3">
      <c r="A1402" t="s">
        <v>72</v>
      </c>
      <c r="B1402" t="s">
        <v>73</v>
      </c>
      <c r="C1402" t="s">
        <v>74</v>
      </c>
      <c r="E1402" t="str">
        <f>"080069820055"</f>
        <v>080069820055</v>
      </c>
      <c r="F1402" s="3">
        <v>46001</v>
      </c>
      <c r="G1402">
        <v>202609</v>
      </c>
      <c r="H1402" t="s">
        <v>75</v>
      </c>
      <c r="I1402" t="s">
        <v>76</v>
      </c>
      <c r="J1402" t="s">
        <v>77</v>
      </c>
      <c r="K1402" t="s">
        <v>78</v>
      </c>
      <c r="L1402" t="s">
        <v>94</v>
      </c>
      <c r="M1402" t="s">
        <v>95</v>
      </c>
      <c r="N1402" t="s">
        <v>1542</v>
      </c>
      <c r="O1402" t="s">
        <v>89</v>
      </c>
      <c r="P1402" t="str">
        <f>"4170072791                    "</f>
        <v xml:space="preserve">4170072791                    </v>
      </c>
      <c r="Q1402">
        <v>0</v>
      </c>
      <c r="R1402">
        <v>0</v>
      </c>
      <c r="S1402">
        <v>0</v>
      </c>
      <c r="T1402">
        <v>0</v>
      </c>
      <c r="U1402">
        <v>0</v>
      </c>
      <c r="V1402">
        <v>0</v>
      </c>
      <c r="W1402">
        <v>0</v>
      </c>
      <c r="X1402">
        <v>0</v>
      </c>
      <c r="Y1402">
        <v>0</v>
      </c>
      <c r="Z1402">
        <v>0</v>
      </c>
      <c r="AA1402">
        <v>0</v>
      </c>
      <c r="AB1402">
        <v>0</v>
      </c>
      <c r="AC1402">
        <v>0</v>
      </c>
      <c r="AD1402">
        <v>0</v>
      </c>
      <c r="AE1402">
        <v>0</v>
      </c>
      <c r="AF1402">
        <v>0</v>
      </c>
      <c r="AG1402">
        <v>0</v>
      </c>
      <c r="AH1402">
        <v>0</v>
      </c>
      <c r="AI1402">
        <v>0</v>
      </c>
      <c r="AJ1402">
        <v>0</v>
      </c>
      <c r="AK1402">
        <v>0</v>
      </c>
      <c r="AL1402">
        <v>0</v>
      </c>
      <c r="AM1402">
        <v>0</v>
      </c>
      <c r="AN1402">
        <v>0</v>
      </c>
      <c r="AO1402">
        <v>0</v>
      </c>
      <c r="AP1402">
        <v>0</v>
      </c>
      <c r="AQ1402">
        <v>25.52</v>
      </c>
      <c r="AR1402">
        <v>0</v>
      </c>
      <c r="AS1402">
        <v>0</v>
      </c>
      <c r="AT1402">
        <v>0</v>
      </c>
      <c r="AU1402">
        <v>0</v>
      </c>
      <c r="AV1402">
        <v>0</v>
      </c>
      <c r="AW1402">
        <v>0</v>
      </c>
      <c r="AX1402">
        <v>0</v>
      </c>
      <c r="AY1402">
        <v>0</v>
      </c>
      <c r="AZ1402">
        <v>0</v>
      </c>
      <c r="BA1402">
        <v>0</v>
      </c>
      <c r="BB1402">
        <v>0</v>
      </c>
      <c r="BC1402">
        <v>0</v>
      </c>
      <c r="BD1402">
        <v>0</v>
      </c>
      <c r="BE1402">
        <v>0</v>
      </c>
      <c r="BF1402">
        <v>0</v>
      </c>
      <c r="BG1402">
        <v>0</v>
      </c>
      <c r="BH1402">
        <v>1</v>
      </c>
      <c r="BI1402">
        <v>1</v>
      </c>
      <c r="BJ1402">
        <v>0.2</v>
      </c>
      <c r="BK1402">
        <v>1</v>
      </c>
      <c r="BL1402">
        <v>76.06</v>
      </c>
      <c r="BM1402">
        <v>11.41</v>
      </c>
      <c r="BN1402">
        <v>87.47</v>
      </c>
      <c r="BO1402">
        <v>87.47</v>
      </c>
      <c r="BQ1402" t="s">
        <v>1543</v>
      </c>
      <c r="BR1402" t="s">
        <v>82</v>
      </c>
      <c r="BS1402" s="3">
        <v>46002</v>
      </c>
      <c r="BT1402" s="4">
        <v>0.41944444444444445</v>
      </c>
      <c r="BU1402" t="s">
        <v>2061</v>
      </c>
      <c r="BV1402" t="s">
        <v>84</v>
      </c>
      <c r="BY1402">
        <v>1200</v>
      </c>
      <c r="CA1402" t="s">
        <v>929</v>
      </c>
      <c r="CC1402" t="s">
        <v>95</v>
      </c>
      <c r="CD1402">
        <v>3610</v>
      </c>
      <c r="CE1402" t="s">
        <v>134</v>
      </c>
      <c r="CF1402" s="3">
        <v>46002</v>
      </c>
      <c r="CI1402">
        <v>1</v>
      </c>
      <c r="CJ1402">
        <v>1</v>
      </c>
      <c r="CK1402">
        <v>21</v>
      </c>
      <c r="CL1402" t="s">
        <v>87</v>
      </c>
    </row>
    <row r="1403" spans="1:90" x14ac:dyDescent="0.3">
      <c r="A1403" t="s">
        <v>72</v>
      </c>
      <c r="B1403" t="s">
        <v>73</v>
      </c>
      <c r="C1403" t="s">
        <v>74</v>
      </c>
      <c r="E1403" t="str">
        <f>"080069820076"</f>
        <v>080069820076</v>
      </c>
      <c r="F1403" s="3">
        <v>46001</v>
      </c>
      <c r="G1403">
        <v>202609</v>
      </c>
      <c r="H1403" t="s">
        <v>75</v>
      </c>
      <c r="I1403" t="s">
        <v>76</v>
      </c>
      <c r="J1403" t="s">
        <v>77</v>
      </c>
      <c r="K1403" t="s">
        <v>78</v>
      </c>
      <c r="L1403" t="s">
        <v>781</v>
      </c>
      <c r="M1403" t="s">
        <v>782</v>
      </c>
      <c r="N1403" t="s">
        <v>887</v>
      </c>
      <c r="O1403" t="s">
        <v>89</v>
      </c>
      <c r="P1403" t="str">
        <f>"4170072909                    "</f>
        <v xml:space="preserve">4170072909                    </v>
      </c>
      <c r="Q1403">
        <v>0</v>
      </c>
      <c r="R1403">
        <v>0</v>
      </c>
      <c r="S1403">
        <v>0</v>
      </c>
      <c r="T1403">
        <v>0</v>
      </c>
      <c r="U1403">
        <v>0</v>
      </c>
      <c r="V1403">
        <v>0</v>
      </c>
      <c r="W1403">
        <v>0</v>
      </c>
      <c r="X1403">
        <v>0</v>
      </c>
      <c r="Y1403">
        <v>0</v>
      </c>
      <c r="Z1403">
        <v>0</v>
      </c>
      <c r="AA1403">
        <v>0</v>
      </c>
      <c r="AB1403">
        <v>0</v>
      </c>
      <c r="AC1403">
        <v>0</v>
      </c>
      <c r="AD1403">
        <v>0</v>
      </c>
      <c r="AE1403">
        <v>0</v>
      </c>
      <c r="AF1403">
        <v>0</v>
      </c>
      <c r="AG1403">
        <v>0</v>
      </c>
      <c r="AH1403">
        <v>0</v>
      </c>
      <c r="AI1403">
        <v>0</v>
      </c>
      <c r="AJ1403">
        <v>0</v>
      </c>
      <c r="AK1403">
        <v>0</v>
      </c>
      <c r="AL1403">
        <v>0</v>
      </c>
      <c r="AM1403">
        <v>0</v>
      </c>
      <c r="AN1403">
        <v>0</v>
      </c>
      <c r="AO1403">
        <v>0</v>
      </c>
      <c r="AP1403">
        <v>0</v>
      </c>
      <c r="AQ1403">
        <v>25.52</v>
      </c>
      <c r="AR1403">
        <v>0</v>
      </c>
      <c r="AS1403">
        <v>0</v>
      </c>
      <c r="AT1403">
        <v>0</v>
      </c>
      <c r="AU1403">
        <v>0</v>
      </c>
      <c r="AV1403">
        <v>0</v>
      </c>
      <c r="AW1403">
        <v>0</v>
      </c>
      <c r="AX1403">
        <v>0</v>
      </c>
      <c r="AY1403">
        <v>0</v>
      </c>
      <c r="AZ1403">
        <v>0</v>
      </c>
      <c r="BA1403">
        <v>0</v>
      </c>
      <c r="BB1403">
        <v>0</v>
      </c>
      <c r="BC1403">
        <v>0</v>
      </c>
      <c r="BD1403">
        <v>0</v>
      </c>
      <c r="BE1403">
        <v>0</v>
      </c>
      <c r="BF1403">
        <v>0</v>
      </c>
      <c r="BG1403">
        <v>0</v>
      </c>
      <c r="BH1403">
        <v>1</v>
      </c>
      <c r="BI1403">
        <v>1</v>
      </c>
      <c r="BJ1403">
        <v>0.2</v>
      </c>
      <c r="BK1403">
        <v>1</v>
      </c>
      <c r="BL1403">
        <v>76.06</v>
      </c>
      <c r="BM1403">
        <v>11.41</v>
      </c>
      <c r="BN1403">
        <v>87.47</v>
      </c>
      <c r="BO1403">
        <v>87.47</v>
      </c>
      <c r="BQ1403" t="s">
        <v>888</v>
      </c>
      <c r="BR1403" t="s">
        <v>82</v>
      </c>
      <c r="BS1403" s="3">
        <v>46002</v>
      </c>
      <c r="BT1403" s="4">
        <v>0.41805555555555557</v>
      </c>
      <c r="BU1403" t="s">
        <v>1648</v>
      </c>
      <c r="BV1403" t="s">
        <v>84</v>
      </c>
      <c r="BY1403">
        <v>1200</v>
      </c>
      <c r="CA1403" t="s">
        <v>630</v>
      </c>
      <c r="CC1403" t="s">
        <v>782</v>
      </c>
      <c r="CD1403">
        <v>4133</v>
      </c>
      <c r="CE1403" t="s">
        <v>134</v>
      </c>
      <c r="CF1403" s="3">
        <v>46003</v>
      </c>
      <c r="CI1403">
        <v>1</v>
      </c>
      <c r="CJ1403">
        <v>1</v>
      </c>
      <c r="CK1403">
        <v>21</v>
      </c>
      <c r="CL1403" t="s">
        <v>87</v>
      </c>
    </row>
    <row r="1404" spans="1:90" x14ac:dyDescent="0.3">
      <c r="A1404" t="s">
        <v>72</v>
      </c>
      <c r="B1404" t="s">
        <v>73</v>
      </c>
      <c r="C1404" t="s">
        <v>74</v>
      </c>
      <c r="E1404" t="str">
        <f>"080069820103"</f>
        <v>080069820103</v>
      </c>
      <c r="F1404" s="3">
        <v>46001</v>
      </c>
      <c r="G1404">
        <v>202609</v>
      </c>
      <c r="H1404" t="s">
        <v>75</v>
      </c>
      <c r="I1404" t="s">
        <v>76</v>
      </c>
      <c r="J1404" t="s">
        <v>77</v>
      </c>
      <c r="K1404" t="s">
        <v>78</v>
      </c>
      <c r="L1404" t="s">
        <v>1120</v>
      </c>
      <c r="M1404" t="s">
        <v>1121</v>
      </c>
      <c r="N1404" t="s">
        <v>1122</v>
      </c>
      <c r="O1404" t="s">
        <v>89</v>
      </c>
      <c r="P1404" t="str">
        <f>"4170072816                    "</f>
        <v xml:space="preserve">4170072816                    </v>
      </c>
      <c r="Q1404">
        <v>0</v>
      </c>
      <c r="R1404">
        <v>0</v>
      </c>
      <c r="S1404">
        <v>0</v>
      </c>
      <c r="T1404">
        <v>0</v>
      </c>
      <c r="U1404">
        <v>0</v>
      </c>
      <c r="V1404">
        <v>0</v>
      </c>
      <c r="W1404">
        <v>0</v>
      </c>
      <c r="X1404">
        <v>0</v>
      </c>
      <c r="Y1404">
        <v>0</v>
      </c>
      <c r="Z1404">
        <v>0</v>
      </c>
      <c r="AA1404">
        <v>0</v>
      </c>
      <c r="AB1404">
        <v>0</v>
      </c>
      <c r="AC1404">
        <v>0</v>
      </c>
      <c r="AD1404">
        <v>0</v>
      </c>
      <c r="AE1404">
        <v>0</v>
      </c>
      <c r="AF1404">
        <v>0</v>
      </c>
      <c r="AG1404">
        <v>0</v>
      </c>
      <c r="AH1404">
        <v>0</v>
      </c>
      <c r="AI1404">
        <v>0</v>
      </c>
      <c r="AJ1404">
        <v>0</v>
      </c>
      <c r="AK1404">
        <v>0</v>
      </c>
      <c r="AL1404">
        <v>0</v>
      </c>
      <c r="AM1404">
        <v>0</v>
      </c>
      <c r="AN1404">
        <v>0</v>
      </c>
      <c r="AO1404">
        <v>0</v>
      </c>
      <c r="AP1404">
        <v>0</v>
      </c>
      <c r="AQ1404">
        <v>49.45</v>
      </c>
      <c r="AR1404">
        <v>0</v>
      </c>
      <c r="AS1404">
        <v>0</v>
      </c>
      <c r="AT1404">
        <v>0</v>
      </c>
      <c r="AU1404">
        <v>0</v>
      </c>
      <c r="AV1404">
        <v>0</v>
      </c>
      <c r="AW1404">
        <v>0</v>
      </c>
      <c r="AX1404">
        <v>0</v>
      </c>
      <c r="AY1404">
        <v>0</v>
      </c>
      <c r="AZ1404">
        <v>0</v>
      </c>
      <c r="BA1404">
        <v>0</v>
      </c>
      <c r="BB1404">
        <v>0</v>
      </c>
      <c r="BC1404">
        <v>0</v>
      </c>
      <c r="BD1404">
        <v>0</v>
      </c>
      <c r="BE1404">
        <v>0</v>
      </c>
      <c r="BF1404">
        <v>0</v>
      </c>
      <c r="BG1404">
        <v>0</v>
      </c>
      <c r="BH1404">
        <v>1</v>
      </c>
      <c r="BI1404">
        <v>0.2</v>
      </c>
      <c r="BJ1404">
        <v>1.7</v>
      </c>
      <c r="BK1404">
        <v>2</v>
      </c>
      <c r="BL1404">
        <v>147.38</v>
      </c>
      <c r="BM1404">
        <v>22.11</v>
      </c>
      <c r="BN1404">
        <v>169.49</v>
      </c>
      <c r="BO1404">
        <v>169.49</v>
      </c>
      <c r="BQ1404" t="s">
        <v>1123</v>
      </c>
      <c r="BR1404" t="s">
        <v>82</v>
      </c>
      <c r="BS1404" s="3">
        <v>46002</v>
      </c>
      <c r="BT1404" s="4">
        <v>0.4375</v>
      </c>
      <c r="BU1404" t="s">
        <v>1124</v>
      </c>
      <c r="BV1404" t="s">
        <v>84</v>
      </c>
      <c r="BY1404">
        <v>8475.5</v>
      </c>
      <c r="CC1404" t="s">
        <v>1121</v>
      </c>
      <c r="CD1404" s="5" t="s">
        <v>1125</v>
      </c>
      <c r="CE1404" t="s">
        <v>134</v>
      </c>
      <c r="CI1404">
        <v>1</v>
      </c>
      <c r="CJ1404">
        <v>1</v>
      </c>
      <c r="CK1404">
        <v>23</v>
      </c>
      <c r="CL1404" t="s">
        <v>87</v>
      </c>
    </row>
    <row r="1405" spans="1:90" x14ac:dyDescent="0.3">
      <c r="A1405" t="s">
        <v>72</v>
      </c>
      <c r="B1405" t="s">
        <v>73</v>
      </c>
      <c r="C1405" t="s">
        <v>74</v>
      </c>
      <c r="E1405" t="str">
        <f>"080069820134"</f>
        <v>080069820134</v>
      </c>
      <c r="F1405" s="3">
        <v>46001</v>
      </c>
      <c r="G1405">
        <v>202609</v>
      </c>
      <c r="H1405" t="s">
        <v>75</v>
      </c>
      <c r="I1405" t="s">
        <v>76</v>
      </c>
      <c r="J1405" t="s">
        <v>77</v>
      </c>
      <c r="K1405" t="s">
        <v>78</v>
      </c>
      <c r="L1405" t="s">
        <v>241</v>
      </c>
      <c r="M1405" t="s">
        <v>242</v>
      </c>
      <c r="N1405" t="s">
        <v>1098</v>
      </c>
      <c r="O1405" t="s">
        <v>89</v>
      </c>
      <c r="P1405" t="str">
        <f>"4170072890                    "</f>
        <v xml:space="preserve">4170072890                    </v>
      </c>
      <c r="Q1405">
        <v>0</v>
      </c>
      <c r="R1405">
        <v>0</v>
      </c>
      <c r="S1405">
        <v>0</v>
      </c>
      <c r="T1405">
        <v>0</v>
      </c>
      <c r="U1405">
        <v>0</v>
      </c>
      <c r="V1405">
        <v>0</v>
      </c>
      <c r="W1405">
        <v>0</v>
      </c>
      <c r="X1405">
        <v>0</v>
      </c>
      <c r="Y1405">
        <v>0</v>
      </c>
      <c r="Z1405">
        <v>0</v>
      </c>
      <c r="AA1405">
        <v>0</v>
      </c>
      <c r="AB1405">
        <v>0</v>
      </c>
      <c r="AC1405">
        <v>0</v>
      </c>
      <c r="AD1405">
        <v>0</v>
      </c>
      <c r="AE1405">
        <v>0</v>
      </c>
      <c r="AF1405">
        <v>0</v>
      </c>
      <c r="AG1405">
        <v>0</v>
      </c>
      <c r="AH1405">
        <v>0</v>
      </c>
      <c r="AI1405">
        <v>0</v>
      </c>
      <c r="AJ1405">
        <v>0</v>
      </c>
      <c r="AK1405">
        <v>0</v>
      </c>
      <c r="AL1405">
        <v>0</v>
      </c>
      <c r="AM1405">
        <v>0</v>
      </c>
      <c r="AN1405">
        <v>0</v>
      </c>
      <c r="AO1405">
        <v>0</v>
      </c>
      <c r="AP1405">
        <v>0</v>
      </c>
      <c r="AQ1405">
        <v>25.52</v>
      </c>
      <c r="AR1405">
        <v>0</v>
      </c>
      <c r="AS1405">
        <v>0</v>
      </c>
      <c r="AT1405">
        <v>0</v>
      </c>
      <c r="AU1405">
        <v>0</v>
      </c>
      <c r="AV1405">
        <v>0</v>
      </c>
      <c r="AW1405">
        <v>0</v>
      </c>
      <c r="AX1405">
        <v>0</v>
      </c>
      <c r="AY1405">
        <v>0</v>
      </c>
      <c r="AZ1405">
        <v>0</v>
      </c>
      <c r="BA1405">
        <v>0</v>
      </c>
      <c r="BB1405">
        <v>0</v>
      </c>
      <c r="BC1405">
        <v>0</v>
      </c>
      <c r="BD1405">
        <v>0</v>
      </c>
      <c r="BE1405">
        <v>0</v>
      </c>
      <c r="BF1405">
        <v>0</v>
      </c>
      <c r="BG1405">
        <v>0</v>
      </c>
      <c r="BH1405">
        <v>1</v>
      </c>
      <c r="BI1405">
        <v>1</v>
      </c>
      <c r="BJ1405">
        <v>0.2</v>
      </c>
      <c r="BK1405">
        <v>1</v>
      </c>
      <c r="BL1405">
        <v>76.06</v>
      </c>
      <c r="BM1405">
        <v>11.41</v>
      </c>
      <c r="BN1405">
        <v>87.47</v>
      </c>
      <c r="BO1405">
        <v>87.47</v>
      </c>
      <c r="BQ1405" t="s">
        <v>1099</v>
      </c>
      <c r="BR1405" t="s">
        <v>82</v>
      </c>
      <c r="BS1405" s="3">
        <v>46002</v>
      </c>
      <c r="BT1405" s="4">
        <v>0.78194444444444444</v>
      </c>
      <c r="BU1405" t="s">
        <v>1224</v>
      </c>
      <c r="BV1405" t="s">
        <v>87</v>
      </c>
      <c r="BW1405" t="s">
        <v>246</v>
      </c>
      <c r="BX1405" t="s">
        <v>294</v>
      </c>
      <c r="BY1405">
        <v>1200</v>
      </c>
      <c r="CA1405" t="s">
        <v>1225</v>
      </c>
      <c r="CC1405" t="s">
        <v>242</v>
      </c>
      <c r="CD1405">
        <v>4302</v>
      </c>
      <c r="CE1405" t="s">
        <v>134</v>
      </c>
      <c r="CF1405" s="3">
        <v>46003</v>
      </c>
      <c r="CI1405">
        <v>1</v>
      </c>
      <c r="CJ1405">
        <v>1</v>
      </c>
      <c r="CK1405">
        <v>21</v>
      </c>
      <c r="CL1405" t="s">
        <v>87</v>
      </c>
    </row>
    <row r="1406" spans="1:90" x14ac:dyDescent="0.3">
      <c r="A1406" t="s">
        <v>72</v>
      </c>
      <c r="B1406" t="s">
        <v>73</v>
      </c>
      <c r="C1406" t="s">
        <v>74</v>
      </c>
      <c r="E1406" t="str">
        <f>"080069820367"</f>
        <v>080069820367</v>
      </c>
      <c r="F1406" s="3">
        <v>46001</v>
      </c>
      <c r="G1406">
        <v>202609</v>
      </c>
      <c r="H1406" t="s">
        <v>75</v>
      </c>
      <c r="I1406" t="s">
        <v>76</v>
      </c>
      <c r="J1406" t="s">
        <v>77</v>
      </c>
      <c r="K1406" t="s">
        <v>78</v>
      </c>
      <c r="L1406" t="s">
        <v>100</v>
      </c>
      <c r="M1406" t="s">
        <v>101</v>
      </c>
      <c r="N1406" t="s">
        <v>102</v>
      </c>
      <c r="O1406" t="s">
        <v>89</v>
      </c>
      <c r="P1406" t="str">
        <f>"4170072930                    "</f>
        <v xml:space="preserve">4170072930                    </v>
      </c>
      <c r="Q1406">
        <v>0</v>
      </c>
      <c r="R1406">
        <v>0</v>
      </c>
      <c r="S1406">
        <v>0</v>
      </c>
      <c r="T1406">
        <v>0</v>
      </c>
      <c r="U1406">
        <v>0</v>
      </c>
      <c r="V1406">
        <v>0</v>
      </c>
      <c r="W1406">
        <v>0</v>
      </c>
      <c r="X1406">
        <v>0</v>
      </c>
      <c r="Y1406">
        <v>0</v>
      </c>
      <c r="Z1406">
        <v>0</v>
      </c>
      <c r="AA1406">
        <v>0</v>
      </c>
      <c r="AB1406">
        <v>0</v>
      </c>
      <c r="AC1406">
        <v>0</v>
      </c>
      <c r="AD1406">
        <v>0</v>
      </c>
      <c r="AE1406">
        <v>0</v>
      </c>
      <c r="AF1406">
        <v>0</v>
      </c>
      <c r="AG1406">
        <v>0</v>
      </c>
      <c r="AH1406">
        <v>0</v>
      </c>
      <c r="AI1406">
        <v>0</v>
      </c>
      <c r="AJ1406">
        <v>0</v>
      </c>
      <c r="AK1406">
        <v>0</v>
      </c>
      <c r="AL1406">
        <v>0</v>
      </c>
      <c r="AM1406">
        <v>0</v>
      </c>
      <c r="AN1406">
        <v>0</v>
      </c>
      <c r="AO1406">
        <v>0</v>
      </c>
      <c r="AP1406">
        <v>0</v>
      </c>
      <c r="AQ1406">
        <v>25.52</v>
      </c>
      <c r="AR1406">
        <v>0</v>
      </c>
      <c r="AS1406">
        <v>0</v>
      </c>
      <c r="AT1406">
        <v>0</v>
      </c>
      <c r="AU1406">
        <v>0</v>
      </c>
      <c r="AV1406">
        <v>0</v>
      </c>
      <c r="AW1406">
        <v>0</v>
      </c>
      <c r="AX1406">
        <v>0</v>
      </c>
      <c r="AY1406">
        <v>0</v>
      </c>
      <c r="AZ1406">
        <v>0</v>
      </c>
      <c r="BA1406">
        <v>0</v>
      </c>
      <c r="BB1406">
        <v>0</v>
      </c>
      <c r="BC1406">
        <v>0</v>
      </c>
      <c r="BD1406">
        <v>0</v>
      </c>
      <c r="BE1406">
        <v>0</v>
      </c>
      <c r="BF1406">
        <v>0</v>
      </c>
      <c r="BG1406">
        <v>0</v>
      </c>
      <c r="BH1406">
        <v>1</v>
      </c>
      <c r="BI1406">
        <v>1</v>
      </c>
      <c r="BJ1406">
        <v>0.2</v>
      </c>
      <c r="BK1406">
        <v>1</v>
      </c>
      <c r="BL1406">
        <v>76.06</v>
      </c>
      <c r="BM1406">
        <v>11.41</v>
      </c>
      <c r="BN1406">
        <v>87.47</v>
      </c>
      <c r="BO1406">
        <v>87.47</v>
      </c>
      <c r="BQ1406" t="s">
        <v>103</v>
      </c>
      <c r="BR1406" t="s">
        <v>82</v>
      </c>
      <c r="BS1406" s="3">
        <v>46002</v>
      </c>
      <c r="BT1406" s="4">
        <v>0.34652777777777777</v>
      </c>
      <c r="BU1406" t="s">
        <v>2018</v>
      </c>
      <c r="BV1406" t="s">
        <v>84</v>
      </c>
      <c r="BY1406">
        <v>1200</v>
      </c>
      <c r="CA1406" t="s">
        <v>107</v>
      </c>
      <c r="CC1406" t="s">
        <v>101</v>
      </c>
      <c r="CD1406">
        <v>4000</v>
      </c>
      <c r="CE1406" t="s">
        <v>134</v>
      </c>
      <c r="CF1406" s="3">
        <v>46002</v>
      </c>
      <c r="CI1406">
        <v>1</v>
      </c>
      <c r="CJ1406">
        <v>1</v>
      </c>
      <c r="CK1406">
        <v>21</v>
      </c>
      <c r="CL1406" t="s">
        <v>87</v>
      </c>
    </row>
    <row r="1407" spans="1:90" x14ac:dyDescent="0.3">
      <c r="A1407" t="s">
        <v>72</v>
      </c>
      <c r="B1407" t="s">
        <v>73</v>
      </c>
      <c r="C1407" t="s">
        <v>74</v>
      </c>
      <c r="E1407" t="str">
        <f>"080069820377"</f>
        <v>080069820377</v>
      </c>
      <c r="F1407" s="3">
        <v>46001</v>
      </c>
      <c r="G1407">
        <v>202609</v>
      </c>
      <c r="H1407" t="s">
        <v>75</v>
      </c>
      <c r="I1407" t="s">
        <v>76</v>
      </c>
      <c r="J1407" t="s">
        <v>77</v>
      </c>
      <c r="K1407" t="s">
        <v>78</v>
      </c>
      <c r="L1407" t="s">
        <v>218</v>
      </c>
      <c r="M1407" t="s">
        <v>219</v>
      </c>
      <c r="N1407" t="s">
        <v>220</v>
      </c>
      <c r="O1407" t="s">
        <v>89</v>
      </c>
      <c r="P1407" t="str">
        <f>"4170072805                    "</f>
        <v xml:space="preserve">4170072805                    </v>
      </c>
      <c r="Q1407">
        <v>0</v>
      </c>
      <c r="R1407">
        <v>0</v>
      </c>
      <c r="S1407">
        <v>0</v>
      </c>
      <c r="T1407">
        <v>0</v>
      </c>
      <c r="U1407">
        <v>0</v>
      </c>
      <c r="V1407">
        <v>0</v>
      </c>
      <c r="W1407">
        <v>0</v>
      </c>
      <c r="X1407">
        <v>0</v>
      </c>
      <c r="Y1407">
        <v>0</v>
      </c>
      <c r="Z1407">
        <v>0</v>
      </c>
      <c r="AA1407">
        <v>0</v>
      </c>
      <c r="AB1407">
        <v>0</v>
      </c>
      <c r="AC1407">
        <v>0</v>
      </c>
      <c r="AD1407">
        <v>0</v>
      </c>
      <c r="AE1407">
        <v>0</v>
      </c>
      <c r="AF1407">
        <v>0</v>
      </c>
      <c r="AG1407">
        <v>0</v>
      </c>
      <c r="AH1407">
        <v>0</v>
      </c>
      <c r="AI1407">
        <v>0</v>
      </c>
      <c r="AJ1407">
        <v>0</v>
      </c>
      <c r="AK1407">
        <v>0</v>
      </c>
      <c r="AL1407">
        <v>0</v>
      </c>
      <c r="AM1407">
        <v>0</v>
      </c>
      <c r="AN1407">
        <v>0</v>
      </c>
      <c r="AO1407">
        <v>0</v>
      </c>
      <c r="AP1407">
        <v>0</v>
      </c>
      <c r="AQ1407">
        <v>172.28</v>
      </c>
      <c r="AR1407">
        <v>0</v>
      </c>
      <c r="AS1407">
        <v>0</v>
      </c>
      <c r="AT1407">
        <v>0</v>
      </c>
      <c r="AU1407">
        <v>0</v>
      </c>
      <c r="AV1407">
        <v>0</v>
      </c>
      <c r="AW1407">
        <v>0</v>
      </c>
      <c r="AX1407">
        <v>0</v>
      </c>
      <c r="AY1407">
        <v>0</v>
      </c>
      <c r="AZ1407">
        <v>0</v>
      </c>
      <c r="BA1407">
        <v>0</v>
      </c>
      <c r="BB1407">
        <v>0</v>
      </c>
      <c r="BC1407">
        <v>0</v>
      </c>
      <c r="BD1407">
        <v>0</v>
      </c>
      <c r="BE1407">
        <v>0</v>
      </c>
      <c r="BF1407">
        <v>0</v>
      </c>
      <c r="BG1407">
        <v>0</v>
      </c>
      <c r="BH1407">
        <v>1</v>
      </c>
      <c r="BI1407">
        <v>7.1</v>
      </c>
      <c r="BJ1407">
        <v>3.1</v>
      </c>
      <c r="BK1407">
        <v>7.5</v>
      </c>
      <c r="BL1407">
        <v>513.41999999999996</v>
      </c>
      <c r="BM1407">
        <v>77.010000000000005</v>
      </c>
      <c r="BN1407">
        <v>590.42999999999995</v>
      </c>
      <c r="BO1407">
        <v>590.42999999999995</v>
      </c>
      <c r="BQ1407" t="s">
        <v>221</v>
      </c>
      <c r="BR1407" t="s">
        <v>82</v>
      </c>
      <c r="BS1407" s="3">
        <v>46002</v>
      </c>
      <c r="BT1407" s="4">
        <v>0.3125</v>
      </c>
      <c r="BU1407" t="s">
        <v>222</v>
      </c>
      <c r="BV1407" t="s">
        <v>84</v>
      </c>
      <c r="BY1407">
        <v>15253.42</v>
      </c>
      <c r="CC1407" t="s">
        <v>219</v>
      </c>
      <c r="CD1407">
        <v>2740</v>
      </c>
      <c r="CE1407" t="s">
        <v>93</v>
      </c>
      <c r="CI1407">
        <v>1</v>
      </c>
      <c r="CJ1407">
        <v>1</v>
      </c>
      <c r="CK1407">
        <v>23</v>
      </c>
      <c r="CL1407" t="s">
        <v>87</v>
      </c>
    </row>
    <row r="1408" spans="1:90" x14ac:dyDescent="0.3">
      <c r="A1408" t="s">
        <v>72</v>
      </c>
      <c r="B1408" t="s">
        <v>73</v>
      </c>
      <c r="C1408" t="s">
        <v>74</v>
      </c>
      <c r="E1408" t="str">
        <f>"080069820386"</f>
        <v>080069820386</v>
      </c>
      <c r="F1408" s="3">
        <v>46001</v>
      </c>
      <c r="G1408">
        <v>202609</v>
      </c>
      <c r="H1408" t="s">
        <v>75</v>
      </c>
      <c r="I1408" t="s">
        <v>76</v>
      </c>
      <c r="J1408" t="s">
        <v>77</v>
      </c>
      <c r="K1408" t="s">
        <v>78</v>
      </c>
      <c r="L1408" t="s">
        <v>302</v>
      </c>
      <c r="M1408" t="s">
        <v>303</v>
      </c>
      <c r="N1408" t="s">
        <v>1615</v>
      </c>
      <c r="O1408" t="s">
        <v>89</v>
      </c>
      <c r="P1408" t="str">
        <f>"4170072931                    "</f>
        <v xml:space="preserve">4170072931                    </v>
      </c>
      <c r="Q1408">
        <v>0</v>
      </c>
      <c r="R1408">
        <v>0</v>
      </c>
      <c r="S1408">
        <v>0</v>
      </c>
      <c r="T1408">
        <v>0</v>
      </c>
      <c r="U1408">
        <v>0</v>
      </c>
      <c r="V1408">
        <v>0</v>
      </c>
      <c r="W1408">
        <v>0</v>
      </c>
      <c r="X1408">
        <v>0</v>
      </c>
      <c r="Y1408">
        <v>0</v>
      </c>
      <c r="Z1408">
        <v>0</v>
      </c>
      <c r="AA1408">
        <v>0</v>
      </c>
      <c r="AB1408">
        <v>0</v>
      </c>
      <c r="AC1408">
        <v>0</v>
      </c>
      <c r="AD1408">
        <v>0</v>
      </c>
      <c r="AE1408">
        <v>0</v>
      </c>
      <c r="AF1408">
        <v>0</v>
      </c>
      <c r="AG1408">
        <v>0</v>
      </c>
      <c r="AH1408">
        <v>0</v>
      </c>
      <c r="AI1408">
        <v>0</v>
      </c>
      <c r="AJ1408">
        <v>0</v>
      </c>
      <c r="AK1408">
        <v>0</v>
      </c>
      <c r="AL1408">
        <v>0</v>
      </c>
      <c r="AM1408">
        <v>0</v>
      </c>
      <c r="AN1408">
        <v>0</v>
      </c>
      <c r="AO1408">
        <v>0</v>
      </c>
      <c r="AP1408">
        <v>0</v>
      </c>
      <c r="AQ1408">
        <v>25.52</v>
      </c>
      <c r="AR1408">
        <v>0</v>
      </c>
      <c r="AS1408">
        <v>0</v>
      </c>
      <c r="AT1408">
        <v>0</v>
      </c>
      <c r="AU1408">
        <v>0</v>
      </c>
      <c r="AV1408">
        <v>0</v>
      </c>
      <c r="AW1408">
        <v>0</v>
      </c>
      <c r="AX1408">
        <v>0</v>
      </c>
      <c r="AY1408">
        <v>0</v>
      </c>
      <c r="AZ1408">
        <v>0</v>
      </c>
      <c r="BA1408">
        <v>0</v>
      </c>
      <c r="BB1408">
        <v>0</v>
      </c>
      <c r="BC1408">
        <v>0</v>
      </c>
      <c r="BD1408">
        <v>0</v>
      </c>
      <c r="BE1408">
        <v>0</v>
      </c>
      <c r="BF1408">
        <v>0</v>
      </c>
      <c r="BG1408">
        <v>0</v>
      </c>
      <c r="BH1408">
        <v>1</v>
      </c>
      <c r="BI1408">
        <v>1</v>
      </c>
      <c r="BJ1408">
        <v>0.2</v>
      </c>
      <c r="BK1408">
        <v>1</v>
      </c>
      <c r="BL1408">
        <v>76.06</v>
      </c>
      <c r="BM1408">
        <v>11.41</v>
      </c>
      <c r="BN1408">
        <v>87.47</v>
      </c>
      <c r="BO1408">
        <v>87.47</v>
      </c>
      <c r="BQ1408" t="s">
        <v>1616</v>
      </c>
      <c r="BR1408" t="s">
        <v>82</v>
      </c>
      <c r="BS1408" s="3">
        <v>46002</v>
      </c>
      <c r="BT1408" s="4">
        <v>0.36875000000000002</v>
      </c>
      <c r="BU1408" t="s">
        <v>2060</v>
      </c>
      <c r="BV1408" t="s">
        <v>84</v>
      </c>
      <c r="BY1408">
        <v>1200</v>
      </c>
      <c r="CA1408">
        <v>8507115621084</v>
      </c>
      <c r="CC1408" t="s">
        <v>303</v>
      </c>
      <c r="CD1408" s="5" t="s">
        <v>433</v>
      </c>
      <c r="CE1408" t="s">
        <v>134</v>
      </c>
      <c r="CF1408" s="3">
        <v>46002</v>
      </c>
      <c r="CI1408">
        <v>1</v>
      </c>
      <c r="CJ1408">
        <v>1</v>
      </c>
      <c r="CK1408">
        <v>21</v>
      </c>
      <c r="CL1408" t="s">
        <v>87</v>
      </c>
    </row>
    <row r="1409" spans="1:90" x14ac:dyDescent="0.3">
      <c r="A1409" t="s">
        <v>72</v>
      </c>
      <c r="B1409" t="s">
        <v>73</v>
      </c>
      <c r="C1409" t="s">
        <v>74</v>
      </c>
      <c r="E1409" t="str">
        <f>"080069820397"</f>
        <v>080069820397</v>
      </c>
      <c r="F1409" s="3">
        <v>46001</v>
      </c>
      <c r="G1409">
        <v>202609</v>
      </c>
      <c r="H1409" t="s">
        <v>75</v>
      </c>
      <c r="I1409" t="s">
        <v>76</v>
      </c>
      <c r="J1409" t="s">
        <v>77</v>
      </c>
      <c r="K1409" t="s">
        <v>78</v>
      </c>
      <c r="L1409" t="s">
        <v>302</v>
      </c>
      <c r="M1409" t="s">
        <v>303</v>
      </c>
      <c r="N1409" t="s">
        <v>425</v>
      </c>
      <c r="O1409" t="s">
        <v>80</v>
      </c>
      <c r="P1409" t="str">
        <f>"4170072919                    "</f>
        <v xml:space="preserve">4170072919                    </v>
      </c>
      <c r="Q1409">
        <v>0</v>
      </c>
      <c r="R1409">
        <v>0</v>
      </c>
      <c r="S1409">
        <v>0</v>
      </c>
      <c r="T1409">
        <v>0</v>
      </c>
      <c r="U1409">
        <v>0</v>
      </c>
      <c r="V1409">
        <v>0</v>
      </c>
      <c r="W1409">
        <v>0</v>
      </c>
      <c r="X1409">
        <v>0</v>
      </c>
      <c r="Y1409">
        <v>0</v>
      </c>
      <c r="Z1409">
        <v>0</v>
      </c>
      <c r="AA1409">
        <v>0</v>
      </c>
      <c r="AB1409">
        <v>0</v>
      </c>
      <c r="AC1409">
        <v>0</v>
      </c>
      <c r="AD1409">
        <v>0</v>
      </c>
      <c r="AE1409">
        <v>0</v>
      </c>
      <c r="AF1409">
        <v>0</v>
      </c>
      <c r="AG1409">
        <v>0</v>
      </c>
      <c r="AH1409">
        <v>0</v>
      </c>
      <c r="AI1409">
        <v>0</v>
      </c>
      <c r="AJ1409">
        <v>0</v>
      </c>
      <c r="AK1409">
        <v>0</v>
      </c>
      <c r="AL1409">
        <v>0</v>
      </c>
      <c r="AM1409">
        <v>0</v>
      </c>
      <c r="AN1409">
        <v>0</v>
      </c>
      <c r="AO1409">
        <v>0</v>
      </c>
      <c r="AP1409">
        <v>0</v>
      </c>
      <c r="AQ1409">
        <v>51.4</v>
      </c>
      <c r="AR1409">
        <v>0</v>
      </c>
      <c r="AS1409">
        <v>0</v>
      </c>
      <c r="AT1409">
        <v>0</v>
      </c>
      <c r="AU1409">
        <v>0</v>
      </c>
      <c r="AV1409">
        <v>0</v>
      </c>
      <c r="AW1409">
        <v>0</v>
      </c>
      <c r="AX1409">
        <v>0</v>
      </c>
      <c r="AY1409">
        <v>0</v>
      </c>
      <c r="AZ1409">
        <v>0</v>
      </c>
      <c r="BA1409">
        <v>0</v>
      </c>
      <c r="BB1409">
        <v>0</v>
      </c>
      <c r="BC1409">
        <v>0</v>
      </c>
      <c r="BD1409">
        <v>0</v>
      </c>
      <c r="BE1409">
        <v>0</v>
      </c>
      <c r="BF1409">
        <v>0</v>
      </c>
      <c r="BG1409">
        <v>0</v>
      </c>
      <c r="BH1409">
        <v>1</v>
      </c>
      <c r="BI1409">
        <v>16</v>
      </c>
      <c r="BJ1409">
        <v>3.6</v>
      </c>
      <c r="BK1409">
        <v>16</v>
      </c>
      <c r="BL1409">
        <v>159.28</v>
      </c>
      <c r="BM1409">
        <v>23.89</v>
      </c>
      <c r="BN1409">
        <v>183.17</v>
      </c>
      <c r="BO1409">
        <v>183.17</v>
      </c>
      <c r="BQ1409" t="s">
        <v>426</v>
      </c>
      <c r="BR1409" t="s">
        <v>82</v>
      </c>
      <c r="BS1409" s="3">
        <v>46002</v>
      </c>
      <c r="BT1409" s="4">
        <v>0.36388888888888887</v>
      </c>
      <c r="BU1409" t="s">
        <v>524</v>
      </c>
      <c r="BV1409" t="s">
        <v>84</v>
      </c>
      <c r="BY1409">
        <v>17822.21</v>
      </c>
      <c r="CA1409">
        <v>7712195338085</v>
      </c>
      <c r="CC1409" t="s">
        <v>303</v>
      </c>
      <c r="CD1409" s="5" t="s">
        <v>350</v>
      </c>
      <c r="CE1409" t="s">
        <v>86</v>
      </c>
      <c r="CF1409" s="3">
        <v>46002</v>
      </c>
      <c r="CI1409">
        <v>1</v>
      </c>
      <c r="CJ1409">
        <v>1</v>
      </c>
      <c r="CK1409">
        <v>41</v>
      </c>
      <c r="CL1409" t="s">
        <v>87</v>
      </c>
    </row>
    <row r="1410" spans="1:90" x14ac:dyDescent="0.3">
      <c r="A1410" t="s">
        <v>72</v>
      </c>
      <c r="B1410" t="s">
        <v>73</v>
      </c>
      <c r="C1410" t="s">
        <v>74</v>
      </c>
      <c r="E1410" t="str">
        <f>"080069820399"</f>
        <v>080069820399</v>
      </c>
      <c r="F1410" s="3">
        <v>46001</v>
      </c>
      <c r="G1410">
        <v>202609</v>
      </c>
      <c r="H1410" t="s">
        <v>75</v>
      </c>
      <c r="I1410" t="s">
        <v>76</v>
      </c>
      <c r="J1410" t="s">
        <v>77</v>
      </c>
      <c r="K1410" t="s">
        <v>78</v>
      </c>
      <c r="L1410" t="s">
        <v>156</v>
      </c>
      <c r="M1410" t="s">
        <v>157</v>
      </c>
      <c r="N1410" t="s">
        <v>261</v>
      </c>
      <c r="O1410" t="s">
        <v>89</v>
      </c>
      <c r="P1410" t="str">
        <f>"4170072929                    "</f>
        <v xml:space="preserve">4170072929                    </v>
      </c>
      <c r="Q1410">
        <v>0</v>
      </c>
      <c r="R1410">
        <v>0</v>
      </c>
      <c r="S1410">
        <v>0</v>
      </c>
      <c r="T1410">
        <v>0</v>
      </c>
      <c r="U1410">
        <v>0</v>
      </c>
      <c r="V1410">
        <v>0</v>
      </c>
      <c r="W1410">
        <v>0</v>
      </c>
      <c r="X1410">
        <v>0</v>
      </c>
      <c r="Y1410">
        <v>0</v>
      </c>
      <c r="Z1410">
        <v>0</v>
      </c>
      <c r="AA1410">
        <v>0</v>
      </c>
      <c r="AB1410">
        <v>0</v>
      </c>
      <c r="AC1410">
        <v>0</v>
      </c>
      <c r="AD1410">
        <v>0</v>
      </c>
      <c r="AE1410">
        <v>0</v>
      </c>
      <c r="AF1410">
        <v>0</v>
      </c>
      <c r="AG1410">
        <v>0</v>
      </c>
      <c r="AH1410">
        <v>0</v>
      </c>
      <c r="AI1410">
        <v>0</v>
      </c>
      <c r="AJ1410">
        <v>0</v>
      </c>
      <c r="AK1410">
        <v>0</v>
      </c>
      <c r="AL1410">
        <v>0</v>
      </c>
      <c r="AM1410">
        <v>0</v>
      </c>
      <c r="AN1410">
        <v>0</v>
      </c>
      <c r="AO1410">
        <v>0</v>
      </c>
      <c r="AP1410">
        <v>0</v>
      </c>
      <c r="AQ1410">
        <v>25.52</v>
      </c>
      <c r="AR1410">
        <v>0</v>
      </c>
      <c r="AS1410">
        <v>0</v>
      </c>
      <c r="AT1410">
        <v>0</v>
      </c>
      <c r="AU1410">
        <v>0</v>
      </c>
      <c r="AV1410">
        <v>0</v>
      </c>
      <c r="AW1410">
        <v>0</v>
      </c>
      <c r="AX1410">
        <v>0</v>
      </c>
      <c r="AY1410">
        <v>0</v>
      </c>
      <c r="AZ1410">
        <v>0</v>
      </c>
      <c r="BA1410">
        <v>0</v>
      </c>
      <c r="BB1410">
        <v>0</v>
      </c>
      <c r="BC1410">
        <v>0</v>
      </c>
      <c r="BD1410">
        <v>0</v>
      </c>
      <c r="BE1410">
        <v>0</v>
      </c>
      <c r="BF1410">
        <v>0</v>
      </c>
      <c r="BG1410">
        <v>0</v>
      </c>
      <c r="BH1410">
        <v>1</v>
      </c>
      <c r="BI1410">
        <v>1</v>
      </c>
      <c r="BJ1410">
        <v>0.2</v>
      </c>
      <c r="BK1410">
        <v>1</v>
      </c>
      <c r="BL1410">
        <v>76.06</v>
      </c>
      <c r="BM1410">
        <v>11.41</v>
      </c>
      <c r="BN1410">
        <v>87.47</v>
      </c>
      <c r="BO1410">
        <v>87.47</v>
      </c>
      <c r="BQ1410" t="s">
        <v>262</v>
      </c>
      <c r="BR1410" t="s">
        <v>82</v>
      </c>
      <c r="BS1410" s="3">
        <v>46002</v>
      </c>
      <c r="BT1410" s="4">
        <v>0.41041666666666665</v>
      </c>
      <c r="BU1410" t="s">
        <v>1210</v>
      </c>
      <c r="BV1410" t="s">
        <v>84</v>
      </c>
      <c r="BY1410">
        <v>1200</v>
      </c>
      <c r="CA1410" t="s">
        <v>264</v>
      </c>
      <c r="CC1410" t="s">
        <v>157</v>
      </c>
      <c r="CD1410">
        <v>7441</v>
      </c>
      <c r="CE1410" t="s">
        <v>134</v>
      </c>
      <c r="CF1410" s="3">
        <v>46003</v>
      </c>
      <c r="CI1410">
        <v>1</v>
      </c>
      <c r="CJ1410">
        <v>1</v>
      </c>
      <c r="CK1410">
        <v>21</v>
      </c>
      <c r="CL1410" t="s">
        <v>87</v>
      </c>
    </row>
    <row r="1411" spans="1:90" x14ac:dyDescent="0.3">
      <c r="A1411" t="s">
        <v>72</v>
      </c>
      <c r="B1411" t="s">
        <v>73</v>
      </c>
      <c r="C1411" t="s">
        <v>74</v>
      </c>
      <c r="E1411" t="str">
        <f>"080069820420"</f>
        <v>080069820420</v>
      </c>
      <c r="F1411" s="3">
        <v>46001</v>
      </c>
      <c r="G1411">
        <v>202609</v>
      </c>
      <c r="H1411" t="s">
        <v>75</v>
      </c>
      <c r="I1411" t="s">
        <v>76</v>
      </c>
      <c r="J1411" t="s">
        <v>77</v>
      </c>
      <c r="K1411" t="s">
        <v>78</v>
      </c>
      <c r="L1411" t="s">
        <v>302</v>
      </c>
      <c r="M1411" t="s">
        <v>303</v>
      </c>
      <c r="N1411" t="s">
        <v>887</v>
      </c>
      <c r="O1411" t="s">
        <v>89</v>
      </c>
      <c r="P1411" t="str">
        <f>"4170072889                    "</f>
        <v xml:space="preserve">4170072889                    </v>
      </c>
      <c r="Q1411">
        <v>0</v>
      </c>
      <c r="R1411">
        <v>0</v>
      </c>
      <c r="S1411">
        <v>0</v>
      </c>
      <c r="T1411">
        <v>0</v>
      </c>
      <c r="U1411">
        <v>0</v>
      </c>
      <c r="V1411">
        <v>0</v>
      </c>
      <c r="W1411">
        <v>0</v>
      </c>
      <c r="X1411">
        <v>0</v>
      </c>
      <c r="Y1411">
        <v>0</v>
      </c>
      <c r="Z1411">
        <v>0</v>
      </c>
      <c r="AA1411">
        <v>0</v>
      </c>
      <c r="AB1411">
        <v>0</v>
      </c>
      <c r="AC1411">
        <v>0</v>
      </c>
      <c r="AD1411">
        <v>0</v>
      </c>
      <c r="AE1411">
        <v>0</v>
      </c>
      <c r="AF1411">
        <v>0</v>
      </c>
      <c r="AG1411">
        <v>0</v>
      </c>
      <c r="AH1411">
        <v>0</v>
      </c>
      <c r="AI1411">
        <v>0</v>
      </c>
      <c r="AJ1411">
        <v>0</v>
      </c>
      <c r="AK1411">
        <v>0</v>
      </c>
      <c r="AL1411">
        <v>0</v>
      </c>
      <c r="AM1411">
        <v>0</v>
      </c>
      <c r="AN1411">
        <v>0</v>
      </c>
      <c r="AO1411">
        <v>0</v>
      </c>
      <c r="AP1411">
        <v>0</v>
      </c>
      <c r="AQ1411">
        <v>25.52</v>
      </c>
      <c r="AR1411">
        <v>0</v>
      </c>
      <c r="AS1411">
        <v>0</v>
      </c>
      <c r="AT1411">
        <v>0</v>
      </c>
      <c r="AU1411">
        <v>0</v>
      </c>
      <c r="AV1411">
        <v>0</v>
      </c>
      <c r="AW1411">
        <v>0</v>
      </c>
      <c r="AX1411">
        <v>0</v>
      </c>
      <c r="AY1411">
        <v>0</v>
      </c>
      <c r="AZ1411">
        <v>0</v>
      </c>
      <c r="BA1411">
        <v>0</v>
      </c>
      <c r="BB1411">
        <v>0</v>
      </c>
      <c r="BC1411">
        <v>0</v>
      </c>
      <c r="BD1411">
        <v>0</v>
      </c>
      <c r="BE1411">
        <v>0</v>
      </c>
      <c r="BF1411">
        <v>0</v>
      </c>
      <c r="BG1411">
        <v>0</v>
      </c>
      <c r="BH1411">
        <v>1</v>
      </c>
      <c r="BI1411">
        <v>1</v>
      </c>
      <c r="BJ1411">
        <v>0.2</v>
      </c>
      <c r="BK1411">
        <v>1</v>
      </c>
      <c r="BL1411">
        <v>76.06</v>
      </c>
      <c r="BM1411">
        <v>11.41</v>
      </c>
      <c r="BN1411">
        <v>87.47</v>
      </c>
      <c r="BO1411">
        <v>87.47</v>
      </c>
      <c r="BQ1411" t="s">
        <v>888</v>
      </c>
      <c r="BR1411" t="s">
        <v>82</v>
      </c>
      <c r="BS1411" s="3">
        <v>46002</v>
      </c>
      <c r="BT1411" s="4">
        <v>0.43541666666666667</v>
      </c>
      <c r="BU1411" t="s">
        <v>232</v>
      </c>
      <c r="BV1411" t="s">
        <v>84</v>
      </c>
      <c r="BY1411">
        <v>1200</v>
      </c>
      <c r="CA1411">
        <v>8303236124087</v>
      </c>
      <c r="CC1411" t="s">
        <v>303</v>
      </c>
      <c r="CD1411" s="5" t="s">
        <v>307</v>
      </c>
      <c r="CE1411" t="s">
        <v>134</v>
      </c>
      <c r="CF1411" s="3">
        <v>46002</v>
      </c>
      <c r="CI1411">
        <v>1</v>
      </c>
      <c r="CJ1411">
        <v>1</v>
      </c>
      <c r="CK1411">
        <v>21</v>
      </c>
      <c r="CL1411" t="s">
        <v>87</v>
      </c>
    </row>
    <row r="1412" spans="1:90" x14ac:dyDescent="0.3">
      <c r="A1412" t="s">
        <v>72</v>
      </c>
      <c r="B1412" t="s">
        <v>73</v>
      </c>
      <c r="C1412" t="s">
        <v>74</v>
      </c>
      <c r="E1412" t="str">
        <f>"080069820437"</f>
        <v>080069820437</v>
      </c>
      <c r="F1412" s="3">
        <v>46001</v>
      </c>
      <c r="G1412">
        <v>202609</v>
      </c>
      <c r="H1412" t="s">
        <v>75</v>
      </c>
      <c r="I1412" t="s">
        <v>76</v>
      </c>
      <c r="J1412" t="s">
        <v>77</v>
      </c>
      <c r="K1412" t="s">
        <v>78</v>
      </c>
      <c r="L1412" t="s">
        <v>75</v>
      </c>
      <c r="M1412" t="s">
        <v>76</v>
      </c>
      <c r="N1412" t="s">
        <v>1965</v>
      </c>
      <c r="O1412" t="s">
        <v>89</v>
      </c>
      <c r="P1412" t="str">
        <f>"4170072808                    "</f>
        <v xml:space="preserve">4170072808                    </v>
      </c>
      <c r="Q1412">
        <v>0</v>
      </c>
      <c r="R1412">
        <v>0</v>
      </c>
      <c r="S1412">
        <v>0</v>
      </c>
      <c r="T1412">
        <v>0</v>
      </c>
      <c r="U1412">
        <v>0</v>
      </c>
      <c r="V1412">
        <v>0</v>
      </c>
      <c r="W1412">
        <v>0</v>
      </c>
      <c r="X1412">
        <v>0</v>
      </c>
      <c r="Y1412">
        <v>0</v>
      </c>
      <c r="Z1412">
        <v>0</v>
      </c>
      <c r="AA1412">
        <v>0</v>
      </c>
      <c r="AB1412">
        <v>0</v>
      </c>
      <c r="AC1412">
        <v>0</v>
      </c>
      <c r="AD1412">
        <v>0</v>
      </c>
      <c r="AE1412">
        <v>0</v>
      </c>
      <c r="AF1412">
        <v>0</v>
      </c>
      <c r="AG1412">
        <v>0</v>
      </c>
      <c r="AH1412">
        <v>0</v>
      </c>
      <c r="AI1412">
        <v>0</v>
      </c>
      <c r="AJ1412">
        <v>0</v>
      </c>
      <c r="AK1412">
        <v>0</v>
      </c>
      <c r="AL1412">
        <v>0</v>
      </c>
      <c r="AM1412">
        <v>0</v>
      </c>
      <c r="AN1412">
        <v>0</v>
      </c>
      <c r="AO1412">
        <v>0</v>
      </c>
      <c r="AP1412">
        <v>0</v>
      </c>
      <c r="AQ1412">
        <v>19.940000000000001</v>
      </c>
      <c r="AR1412">
        <v>0</v>
      </c>
      <c r="AS1412">
        <v>0</v>
      </c>
      <c r="AT1412">
        <v>0</v>
      </c>
      <c r="AU1412">
        <v>0</v>
      </c>
      <c r="AV1412">
        <v>0</v>
      </c>
      <c r="AW1412">
        <v>0</v>
      </c>
      <c r="AX1412">
        <v>0</v>
      </c>
      <c r="AY1412">
        <v>0</v>
      </c>
      <c r="AZ1412">
        <v>0</v>
      </c>
      <c r="BA1412">
        <v>0</v>
      </c>
      <c r="BB1412">
        <v>0</v>
      </c>
      <c r="BC1412">
        <v>0</v>
      </c>
      <c r="BD1412">
        <v>0</v>
      </c>
      <c r="BE1412">
        <v>0</v>
      </c>
      <c r="BF1412">
        <v>0</v>
      </c>
      <c r="BG1412">
        <v>0</v>
      </c>
      <c r="BH1412">
        <v>1</v>
      </c>
      <c r="BI1412">
        <v>1</v>
      </c>
      <c r="BJ1412">
        <v>0.2</v>
      </c>
      <c r="BK1412">
        <v>1</v>
      </c>
      <c r="BL1412">
        <v>59.42</v>
      </c>
      <c r="BM1412">
        <v>8.91</v>
      </c>
      <c r="BN1412">
        <v>68.33</v>
      </c>
      <c r="BO1412">
        <v>68.33</v>
      </c>
      <c r="BQ1412" t="s">
        <v>1966</v>
      </c>
      <c r="BR1412" t="s">
        <v>82</v>
      </c>
      <c r="BS1412" s="3">
        <v>46002</v>
      </c>
      <c r="BT1412" s="4">
        <v>0.50277777777777777</v>
      </c>
      <c r="BU1412" t="s">
        <v>2101</v>
      </c>
      <c r="BV1412" t="s">
        <v>87</v>
      </c>
      <c r="BW1412" t="s">
        <v>174</v>
      </c>
      <c r="BX1412" t="s">
        <v>198</v>
      </c>
      <c r="BY1412">
        <v>1200</v>
      </c>
      <c r="CA1412" t="s">
        <v>606</v>
      </c>
      <c r="CC1412" t="s">
        <v>76</v>
      </c>
      <c r="CD1412">
        <v>1600</v>
      </c>
      <c r="CE1412" t="s">
        <v>134</v>
      </c>
      <c r="CF1412" s="3">
        <v>46003</v>
      </c>
      <c r="CI1412">
        <v>1</v>
      </c>
      <c r="CJ1412">
        <v>1</v>
      </c>
      <c r="CK1412">
        <v>22</v>
      </c>
      <c r="CL1412" t="s">
        <v>87</v>
      </c>
    </row>
    <row r="1413" spans="1:90" x14ac:dyDescent="0.3">
      <c r="A1413" t="s">
        <v>72</v>
      </c>
      <c r="B1413" t="s">
        <v>73</v>
      </c>
      <c r="C1413" t="s">
        <v>74</v>
      </c>
      <c r="E1413" t="str">
        <f>"080069820454"</f>
        <v>080069820454</v>
      </c>
      <c r="F1413" s="3">
        <v>46001</v>
      </c>
      <c r="G1413">
        <v>202609</v>
      </c>
      <c r="H1413" t="s">
        <v>75</v>
      </c>
      <c r="I1413" t="s">
        <v>76</v>
      </c>
      <c r="J1413" t="s">
        <v>77</v>
      </c>
      <c r="K1413" t="s">
        <v>78</v>
      </c>
      <c r="L1413" t="s">
        <v>156</v>
      </c>
      <c r="M1413" t="s">
        <v>157</v>
      </c>
      <c r="N1413" t="s">
        <v>443</v>
      </c>
      <c r="O1413" t="s">
        <v>89</v>
      </c>
      <c r="P1413" t="str">
        <f>"4170072857                    "</f>
        <v xml:space="preserve">4170072857                    </v>
      </c>
      <c r="Q1413">
        <v>0</v>
      </c>
      <c r="R1413">
        <v>0</v>
      </c>
      <c r="S1413">
        <v>0</v>
      </c>
      <c r="T1413">
        <v>0</v>
      </c>
      <c r="U1413">
        <v>0</v>
      </c>
      <c r="V1413">
        <v>0</v>
      </c>
      <c r="W1413">
        <v>0</v>
      </c>
      <c r="X1413">
        <v>0</v>
      </c>
      <c r="Y1413">
        <v>0</v>
      </c>
      <c r="Z1413">
        <v>0</v>
      </c>
      <c r="AA1413">
        <v>0</v>
      </c>
      <c r="AB1413">
        <v>0</v>
      </c>
      <c r="AC1413">
        <v>0</v>
      </c>
      <c r="AD1413">
        <v>0</v>
      </c>
      <c r="AE1413">
        <v>0</v>
      </c>
      <c r="AF1413">
        <v>0</v>
      </c>
      <c r="AG1413">
        <v>0</v>
      </c>
      <c r="AH1413">
        <v>0</v>
      </c>
      <c r="AI1413">
        <v>0</v>
      </c>
      <c r="AJ1413">
        <v>0</v>
      </c>
      <c r="AK1413">
        <v>0</v>
      </c>
      <c r="AL1413">
        <v>0</v>
      </c>
      <c r="AM1413">
        <v>0</v>
      </c>
      <c r="AN1413">
        <v>0</v>
      </c>
      <c r="AO1413">
        <v>0</v>
      </c>
      <c r="AP1413">
        <v>0</v>
      </c>
      <c r="AQ1413">
        <v>25.52</v>
      </c>
      <c r="AR1413">
        <v>0</v>
      </c>
      <c r="AS1413">
        <v>0</v>
      </c>
      <c r="AT1413">
        <v>0</v>
      </c>
      <c r="AU1413">
        <v>0</v>
      </c>
      <c r="AV1413">
        <v>0</v>
      </c>
      <c r="AW1413">
        <v>0</v>
      </c>
      <c r="AX1413">
        <v>0</v>
      </c>
      <c r="AY1413">
        <v>0</v>
      </c>
      <c r="AZ1413">
        <v>0</v>
      </c>
      <c r="BA1413">
        <v>0</v>
      </c>
      <c r="BB1413">
        <v>0</v>
      </c>
      <c r="BC1413">
        <v>0</v>
      </c>
      <c r="BD1413">
        <v>0</v>
      </c>
      <c r="BE1413">
        <v>0</v>
      </c>
      <c r="BF1413">
        <v>0</v>
      </c>
      <c r="BG1413">
        <v>0</v>
      </c>
      <c r="BH1413">
        <v>1</v>
      </c>
      <c r="BI1413">
        <v>1</v>
      </c>
      <c r="BJ1413">
        <v>0.2</v>
      </c>
      <c r="BK1413">
        <v>1</v>
      </c>
      <c r="BL1413">
        <v>76.06</v>
      </c>
      <c r="BM1413">
        <v>11.41</v>
      </c>
      <c r="BN1413">
        <v>87.47</v>
      </c>
      <c r="BO1413">
        <v>87.47</v>
      </c>
      <c r="BQ1413" t="s">
        <v>444</v>
      </c>
      <c r="BR1413" t="s">
        <v>82</v>
      </c>
      <c r="BS1413" s="3">
        <v>46002</v>
      </c>
      <c r="BT1413" s="4">
        <v>0.35625000000000001</v>
      </c>
      <c r="BU1413" t="s">
        <v>2051</v>
      </c>
      <c r="BV1413" t="s">
        <v>84</v>
      </c>
      <c r="BY1413">
        <v>1200</v>
      </c>
      <c r="CA1413" t="s">
        <v>346</v>
      </c>
      <c r="CC1413" t="s">
        <v>157</v>
      </c>
      <c r="CD1413">
        <v>7530</v>
      </c>
      <c r="CE1413" t="s">
        <v>134</v>
      </c>
      <c r="CI1413">
        <v>1</v>
      </c>
      <c r="CJ1413">
        <v>1</v>
      </c>
      <c r="CK1413">
        <v>21</v>
      </c>
      <c r="CL1413" t="s">
        <v>87</v>
      </c>
    </row>
    <row r="1414" spans="1:90" x14ac:dyDescent="0.3">
      <c r="A1414" t="s">
        <v>72</v>
      </c>
      <c r="B1414" t="s">
        <v>73</v>
      </c>
      <c r="C1414" t="s">
        <v>74</v>
      </c>
      <c r="E1414" t="str">
        <f>"080069820477"</f>
        <v>080069820477</v>
      </c>
      <c r="F1414" s="3">
        <v>46001</v>
      </c>
      <c r="G1414">
        <v>202609</v>
      </c>
      <c r="H1414" t="s">
        <v>75</v>
      </c>
      <c r="I1414" t="s">
        <v>76</v>
      </c>
      <c r="J1414" t="s">
        <v>77</v>
      </c>
      <c r="K1414" t="s">
        <v>78</v>
      </c>
      <c r="L1414" t="s">
        <v>265</v>
      </c>
      <c r="M1414" t="s">
        <v>266</v>
      </c>
      <c r="N1414" t="s">
        <v>2102</v>
      </c>
      <c r="O1414" t="s">
        <v>89</v>
      </c>
      <c r="P1414" t="str">
        <f>"4170072893                    "</f>
        <v xml:space="preserve">4170072893                    </v>
      </c>
      <c r="Q1414">
        <v>0</v>
      </c>
      <c r="R1414">
        <v>0</v>
      </c>
      <c r="S1414">
        <v>0</v>
      </c>
      <c r="T1414">
        <v>0</v>
      </c>
      <c r="U1414">
        <v>0</v>
      </c>
      <c r="V1414">
        <v>0</v>
      </c>
      <c r="W1414">
        <v>0</v>
      </c>
      <c r="X1414">
        <v>0</v>
      </c>
      <c r="Y1414">
        <v>0</v>
      </c>
      <c r="Z1414">
        <v>0</v>
      </c>
      <c r="AA1414">
        <v>0</v>
      </c>
      <c r="AB1414">
        <v>0</v>
      </c>
      <c r="AC1414">
        <v>0</v>
      </c>
      <c r="AD1414">
        <v>0</v>
      </c>
      <c r="AE1414">
        <v>0</v>
      </c>
      <c r="AF1414">
        <v>0</v>
      </c>
      <c r="AG1414">
        <v>0</v>
      </c>
      <c r="AH1414">
        <v>0</v>
      </c>
      <c r="AI1414">
        <v>0</v>
      </c>
      <c r="AJ1414">
        <v>0</v>
      </c>
      <c r="AK1414">
        <v>0</v>
      </c>
      <c r="AL1414">
        <v>0</v>
      </c>
      <c r="AM1414">
        <v>0</v>
      </c>
      <c r="AN1414">
        <v>0</v>
      </c>
      <c r="AO1414">
        <v>0</v>
      </c>
      <c r="AP1414">
        <v>0</v>
      </c>
      <c r="AQ1414">
        <v>19.940000000000001</v>
      </c>
      <c r="AR1414">
        <v>0</v>
      </c>
      <c r="AS1414">
        <v>0</v>
      </c>
      <c r="AT1414">
        <v>0</v>
      </c>
      <c r="AU1414">
        <v>0</v>
      </c>
      <c r="AV1414">
        <v>0</v>
      </c>
      <c r="AW1414">
        <v>0</v>
      </c>
      <c r="AX1414">
        <v>0</v>
      </c>
      <c r="AY1414">
        <v>0</v>
      </c>
      <c r="AZ1414">
        <v>0</v>
      </c>
      <c r="BA1414">
        <v>0</v>
      </c>
      <c r="BB1414">
        <v>0</v>
      </c>
      <c r="BC1414">
        <v>0</v>
      </c>
      <c r="BD1414">
        <v>0</v>
      </c>
      <c r="BE1414">
        <v>0</v>
      </c>
      <c r="BF1414">
        <v>0</v>
      </c>
      <c r="BG1414">
        <v>0</v>
      </c>
      <c r="BH1414">
        <v>1</v>
      </c>
      <c r="BI1414">
        <v>0.7</v>
      </c>
      <c r="BJ1414">
        <v>1</v>
      </c>
      <c r="BK1414">
        <v>1</v>
      </c>
      <c r="BL1414">
        <v>59.42</v>
      </c>
      <c r="BM1414">
        <v>8.91</v>
      </c>
      <c r="BN1414">
        <v>68.33</v>
      </c>
      <c r="BO1414">
        <v>68.33</v>
      </c>
      <c r="BQ1414" t="s">
        <v>2103</v>
      </c>
      <c r="BR1414" t="s">
        <v>82</v>
      </c>
      <c r="BS1414" s="3">
        <v>46002</v>
      </c>
      <c r="BT1414" s="4">
        <v>0.39097222222222222</v>
      </c>
      <c r="BU1414" t="s">
        <v>1548</v>
      </c>
      <c r="BV1414" t="s">
        <v>84</v>
      </c>
      <c r="BY1414">
        <v>4927.6499999999996</v>
      </c>
      <c r="CA1414" t="s">
        <v>319</v>
      </c>
      <c r="CC1414" t="s">
        <v>266</v>
      </c>
      <c r="CD1414">
        <v>1459</v>
      </c>
      <c r="CE1414" t="s">
        <v>86</v>
      </c>
      <c r="CF1414" s="3">
        <v>46003</v>
      </c>
      <c r="CI1414">
        <v>1</v>
      </c>
      <c r="CJ1414">
        <v>1</v>
      </c>
      <c r="CK1414">
        <v>22</v>
      </c>
      <c r="CL1414" t="s">
        <v>87</v>
      </c>
    </row>
    <row r="1415" spans="1:90" x14ac:dyDescent="0.3">
      <c r="A1415" t="s">
        <v>72</v>
      </c>
      <c r="B1415" t="s">
        <v>73</v>
      </c>
      <c r="C1415" t="s">
        <v>74</v>
      </c>
      <c r="E1415" t="str">
        <f>"080069820510"</f>
        <v>080069820510</v>
      </c>
      <c r="F1415" s="3">
        <v>46001</v>
      </c>
      <c r="G1415">
        <v>202609</v>
      </c>
      <c r="H1415" t="s">
        <v>75</v>
      </c>
      <c r="I1415" t="s">
        <v>76</v>
      </c>
      <c r="J1415" t="s">
        <v>77</v>
      </c>
      <c r="K1415" t="s">
        <v>78</v>
      </c>
      <c r="L1415" t="s">
        <v>692</v>
      </c>
      <c r="M1415" t="s">
        <v>693</v>
      </c>
      <c r="N1415" t="s">
        <v>694</v>
      </c>
      <c r="O1415" t="s">
        <v>340</v>
      </c>
      <c r="P1415" t="str">
        <f>"4170072619                    "</f>
        <v xml:space="preserve">4170072619                    </v>
      </c>
      <c r="Q1415">
        <v>0</v>
      </c>
      <c r="R1415">
        <v>0</v>
      </c>
      <c r="S1415">
        <v>0</v>
      </c>
      <c r="T1415">
        <v>0</v>
      </c>
      <c r="U1415">
        <v>0</v>
      </c>
      <c r="V1415">
        <v>0</v>
      </c>
      <c r="W1415">
        <v>0</v>
      </c>
      <c r="X1415">
        <v>0</v>
      </c>
      <c r="Y1415">
        <v>0</v>
      </c>
      <c r="Z1415">
        <v>0</v>
      </c>
      <c r="AA1415">
        <v>0</v>
      </c>
      <c r="AB1415">
        <v>0</v>
      </c>
      <c r="AC1415">
        <v>0</v>
      </c>
      <c r="AD1415">
        <v>0</v>
      </c>
      <c r="AE1415">
        <v>0</v>
      </c>
      <c r="AF1415">
        <v>0</v>
      </c>
      <c r="AG1415">
        <v>0</v>
      </c>
      <c r="AH1415">
        <v>0</v>
      </c>
      <c r="AI1415">
        <v>0</v>
      </c>
      <c r="AJ1415">
        <v>0</v>
      </c>
      <c r="AK1415">
        <v>0</v>
      </c>
      <c r="AL1415">
        <v>0</v>
      </c>
      <c r="AM1415">
        <v>0</v>
      </c>
      <c r="AN1415">
        <v>0</v>
      </c>
      <c r="AO1415">
        <v>0</v>
      </c>
      <c r="AP1415">
        <v>0</v>
      </c>
      <c r="AQ1415">
        <v>111.3</v>
      </c>
      <c r="AR1415">
        <v>0</v>
      </c>
      <c r="AS1415">
        <v>0</v>
      </c>
      <c r="AT1415">
        <v>0</v>
      </c>
      <c r="AU1415">
        <v>0</v>
      </c>
      <c r="AV1415">
        <v>0</v>
      </c>
      <c r="AW1415">
        <v>0</v>
      </c>
      <c r="AX1415">
        <v>0</v>
      </c>
      <c r="AY1415">
        <v>0</v>
      </c>
      <c r="AZ1415">
        <v>0</v>
      </c>
      <c r="BA1415">
        <v>0</v>
      </c>
      <c r="BB1415">
        <v>0</v>
      </c>
      <c r="BC1415">
        <v>0</v>
      </c>
      <c r="BD1415">
        <v>0</v>
      </c>
      <c r="BE1415">
        <v>0</v>
      </c>
      <c r="BF1415">
        <v>0</v>
      </c>
      <c r="BG1415">
        <v>0</v>
      </c>
      <c r="BH1415">
        <v>2</v>
      </c>
      <c r="BI1415">
        <v>5.2</v>
      </c>
      <c r="BJ1415">
        <v>3.2</v>
      </c>
      <c r="BK1415">
        <v>5.5</v>
      </c>
      <c r="BL1415">
        <v>331.69</v>
      </c>
      <c r="BM1415">
        <v>49.75</v>
      </c>
      <c r="BN1415">
        <v>381.44</v>
      </c>
      <c r="BO1415">
        <v>381.44</v>
      </c>
      <c r="BQ1415" t="s">
        <v>695</v>
      </c>
      <c r="BR1415" t="s">
        <v>82</v>
      </c>
      <c r="BS1415" s="3">
        <v>46002</v>
      </c>
      <c r="BT1415" s="4">
        <v>0.33333333333333331</v>
      </c>
      <c r="BU1415" t="s">
        <v>2104</v>
      </c>
      <c r="BV1415" t="s">
        <v>84</v>
      </c>
      <c r="BY1415">
        <v>16073.78</v>
      </c>
      <c r="CA1415" t="s">
        <v>697</v>
      </c>
      <c r="CC1415" t="s">
        <v>693</v>
      </c>
      <c r="CD1415">
        <v>1759</v>
      </c>
      <c r="CE1415" t="s">
        <v>86</v>
      </c>
      <c r="CF1415" s="3">
        <v>46003</v>
      </c>
      <c r="CI1415">
        <v>1</v>
      </c>
      <c r="CJ1415">
        <v>1</v>
      </c>
      <c r="CK1415">
        <v>34</v>
      </c>
      <c r="CL1415" t="s">
        <v>87</v>
      </c>
    </row>
    <row r="1416" spans="1:90" x14ac:dyDescent="0.3">
      <c r="A1416" t="s">
        <v>72</v>
      </c>
      <c r="B1416" t="s">
        <v>73</v>
      </c>
      <c r="C1416" t="s">
        <v>74</v>
      </c>
      <c r="E1416" t="str">
        <f>"080069820754"</f>
        <v>080069820754</v>
      </c>
      <c r="F1416" s="3">
        <v>46001</v>
      </c>
      <c r="G1416">
        <v>202609</v>
      </c>
      <c r="H1416" t="s">
        <v>75</v>
      </c>
      <c r="I1416" t="s">
        <v>76</v>
      </c>
      <c r="J1416" t="s">
        <v>77</v>
      </c>
      <c r="K1416" t="s">
        <v>78</v>
      </c>
      <c r="L1416" t="s">
        <v>302</v>
      </c>
      <c r="M1416" t="s">
        <v>303</v>
      </c>
      <c r="N1416" t="s">
        <v>425</v>
      </c>
      <c r="O1416" t="s">
        <v>80</v>
      </c>
      <c r="P1416" t="str">
        <f>"4170072915                    "</f>
        <v xml:space="preserve">4170072915                    </v>
      </c>
      <c r="Q1416">
        <v>0</v>
      </c>
      <c r="R1416">
        <v>0</v>
      </c>
      <c r="S1416">
        <v>0</v>
      </c>
      <c r="T1416">
        <v>0</v>
      </c>
      <c r="U1416">
        <v>0</v>
      </c>
      <c r="V1416">
        <v>0</v>
      </c>
      <c r="W1416">
        <v>0</v>
      </c>
      <c r="X1416">
        <v>0</v>
      </c>
      <c r="Y1416">
        <v>0</v>
      </c>
      <c r="Z1416">
        <v>0</v>
      </c>
      <c r="AA1416">
        <v>0</v>
      </c>
      <c r="AB1416">
        <v>0</v>
      </c>
      <c r="AC1416">
        <v>0</v>
      </c>
      <c r="AD1416">
        <v>0</v>
      </c>
      <c r="AE1416">
        <v>0</v>
      </c>
      <c r="AF1416">
        <v>0</v>
      </c>
      <c r="AG1416">
        <v>0</v>
      </c>
      <c r="AH1416">
        <v>0</v>
      </c>
      <c r="AI1416">
        <v>0</v>
      </c>
      <c r="AJ1416">
        <v>0</v>
      </c>
      <c r="AK1416">
        <v>0</v>
      </c>
      <c r="AL1416">
        <v>0</v>
      </c>
      <c r="AM1416">
        <v>0</v>
      </c>
      <c r="AN1416">
        <v>0</v>
      </c>
      <c r="AO1416">
        <v>0</v>
      </c>
      <c r="AP1416">
        <v>0</v>
      </c>
      <c r="AQ1416">
        <v>49.36</v>
      </c>
      <c r="AR1416">
        <v>0</v>
      </c>
      <c r="AS1416">
        <v>0</v>
      </c>
      <c r="AT1416">
        <v>0</v>
      </c>
      <c r="AU1416">
        <v>0</v>
      </c>
      <c r="AV1416">
        <v>0</v>
      </c>
      <c r="AW1416">
        <v>0</v>
      </c>
      <c r="AX1416">
        <v>0</v>
      </c>
      <c r="AY1416">
        <v>0</v>
      </c>
      <c r="AZ1416">
        <v>0</v>
      </c>
      <c r="BA1416">
        <v>0</v>
      </c>
      <c r="BB1416">
        <v>0</v>
      </c>
      <c r="BC1416">
        <v>0</v>
      </c>
      <c r="BD1416">
        <v>0</v>
      </c>
      <c r="BE1416">
        <v>0</v>
      </c>
      <c r="BF1416">
        <v>0</v>
      </c>
      <c r="BG1416">
        <v>0</v>
      </c>
      <c r="BH1416">
        <v>1</v>
      </c>
      <c r="BI1416">
        <v>9.1</v>
      </c>
      <c r="BJ1416">
        <v>1.5</v>
      </c>
      <c r="BK1416">
        <v>10</v>
      </c>
      <c r="BL1416">
        <v>153.19999999999999</v>
      </c>
      <c r="BM1416">
        <v>22.98</v>
      </c>
      <c r="BN1416">
        <v>176.18</v>
      </c>
      <c r="BO1416">
        <v>176.18</v>
      </c>
      <c r="BQ1416" t="s">
        <v>426</v>
      </c>
      <c r="BR1416" t="s">
        <v>82</v>
      </c>
      <c r="BS1416" s="3">
        <v>46002</v>
      </c>
      <c r="BT1416" s="4">
        <v>0.36458333333333331</v>
      </c>
      <c r="BU1416" t="s">
        <v>524</v>
      </c>
      <c r="BV1416" t="s">
        <v>84</v>
      </c>
      <c r="BY1416">
        <v>7603.8</v>
      </c>
      <c r="CA1416">
        <v>7712195338085</v>
      </c>
      <c r="CC1416" t="s">
        <v>303</v>
      </c>
      <c r="CD1416" s="5" t="s">
        <v>350</v>
      </c>
      <c r="CE1416" t="s">
        <v>86</v>
      </c>
      <c r="CF1416" s="3">
        <v>46002</v>
      </c>
      <c r="CI1416">
        <v>1</v>
      </c>
      <c r="CJ1416">
        <v>1</v>
      </c>
      <c r="CK1416">
        <v>41</v>
      </c>
      <c r="CL1416" t="s">
        <v>87</v>
      </c>
    </row>
    <row r="1417" spans="1:90" x14ac:dyDescent="0.3">
      <c r="A1417" t="s">
        <v>72</v>
      </c>
      <c r="B1417" t="s">
        <v>73</v>
      </c>
      <c r="C1417" t="s">
        <v>74</v>
      </c>
      <c r="E1417" t="str">
        <f>"080069820847"</f>
        <v>080069820847</v>
      </c>
      <c r="F1417" s="3">
        <v>46001</v>
      </c>
      <c r="G1417">
        <v>202609</v>
      </c>
      <c r="H1417" t="s">
        <v>75</v>
      </c>
      <c r="I1417" t="s">
        <v>76</v>
      </c>
      <c r="J1417" t="s">
        <v>77</v>
      </c>
      <c r="K1417" t="s">
        <v>78</v>
      </c>
      <c r="L1417" t="s">
        <v>100</v>
      </c>
      <c r="M1417" t="s">
        <v>101</v>
      </c>
      <c r="N1417" t="s">
        <v>1367</v>
      </c>
      <c r="O1417" t="s">
        <v>89</v>
      </c>
      <c r="P1417" t="str">
        <f>"4170072891                    "</f>
        <v xml:space="preserve">4170072891                    </v>
      </c>
      <c r="Q1417">
        <v>0</v>
      </c>
      <c r="R1417">
        <v>0</v>
      </c>
      <c r="S1417">
        <v>0</v>
      </c>
      <c r="T1417">
        <v>0</v>
      </c>
      <c r="U1417">
        <v>0</v>
      </c>
      <c r="V1417">
        <v>0</v>
      </c>
      <c r="W1417">
        <v>0</v>
      </c>
      <c r="X1417">
        <v>0</v>
      </c>
      <c r="Y1417">
        <v>0</v>
      </c>
      <c r="Z1417">
        <v>0</v>
      </c>
      <c r="AA1417">
        <v>0</v>
      </c>
      <c r="AB1417">
        <v>0</v>
      </c>
      <c r="AC1417">
        <v>0</v>
      </c>
      <c r="AD1417">
        <v>0</v>
      </c>
      <c r="AE1417">
        <v>0</v>
      </c>
      <c r="AF1417">
        <v>0</v>
      </c>
      <c r="AG1417">
        <v>0</v>
      </c>
      <c r="AH1417">
        <v>0</v>
      </c>
      <c r="AI1417">
        <v>0</v>
      </c>
      <c r="AJ1417">
        <v>0</v>
      </c>
      <c r="AK1417">
        <v>0</v>
      </c>
      <c r="AL1417">
        <v>0</v>
      </c>
      <c r="AM1417">
        <v>0</v>
      </c>
      <c r="AN1417">
        <v>0</v>
      </c>
      <c r="AO1417">
        <v>0</v>
      </c>
      <c r="AP1417">
        <v>0</v>
      </c>
      <c r="AQ1417">
        <v>25.52</v>
      </c>
      <c r="AR1417">
        <v>0</v>
      </c>
      <c r="AS1417">
        <v>0</v>
      </c>
      <c r="AT1417">
        <v>0</v>
      </c>
      <c r="AU1417">
        <v>0</v>
      </c>
      <c r="AV1417">
        <v>0</v>
      </c>
      <c r="AW1417">
        <v>0</v>
      </c>
      <c r="AX1417">
        <v>0</v>
      </c>
      <c r="AY1417">
        <v>0</v>
      </c>
      <c r="AZ1417">
        <v>0</v>
      </c>
      <c r="BA1417">
        <v>0</v>
      </c>
      <c r="BB1417">
        <v>0</v>
      </c>
      <c r="BC1417">
        <v>0</v>
      </c>
      <c r="BD1417">
        <v>0</v>
      </c>
      <c r="BE1417">
        <v>0</v>
      </c>
      <c r="BF1417">
        <v>0</v>
      </c>
      <c r="BG1417">
        <v>0</v>
      </c>
      <c r="BH1417">
        <v>1</v>
      </c>
      <c r="BI1417">
        <v>1</v>
      </c>
      <c r="BJ1417">
        <v>0.6</v>
      </c>
      <c r="BK1417">
        <v>1</v>
      </c>
      <c r="BL1417">
        <v>76.06</v>
      </c>
      <c r="BM1417">
        <v>11.41</v>
      </c>
      <c r="BN1417">
        <v>87.47</v>
      </c>
      <c r="BO1417">
        <v>87.47</v>
      </c>
      <c r="BQ1417" t="s">
        <v>1429</v>
      </c>
      <c r="BR1417" t="s">
        <v>82</v>
      </c>
      <c r="BS1417" s="3">
        <v>46002</v>
      </c>
      <c r="BT1417" s="4">
        <v>0.39930555555555558</v>
      </c>
      <c r="BU1417" t="s">
        <v>2100</v>
      </c>
      <c r="BV1417" t="s">
        <v>84</v>
      </c>
      <c r="BY1417">
        <v>3247.34</v>
      </c>
      <c r="CA1417" t="s">
        <v>1070</v>
      </c>
      <c r="CC1417" t="s">
        <v>101</v>
      </c>
      <c r="CD1417">
        <v>4001</v>
      </c>
      <c r="CE1417" t="s">
        <v>86</v>
      </c>
      <c r="CF1417" s="3">
        <v>46002</v>
      </c>
      <c r="CI1417">
        <v>1</v>
      </c>
      <c r="CJ1417">
        <v>1</v>
      </c>
      <c r="CK1417">
        <v>21</v>
      </c>
      <c r="CL1417" t="s">
        <v>87</v>
      </c>
    </row>
    <row r="1418" spans="1:90" x14ac:dyDescent="0.3">
      <c r="A1418" t="s">
        <v>72</v>
      </c>
      <c r="B1418" t="s">
        <v>73</v>
      </c>
      <c r="C1418" t="s">
        <v>74</v>
      </c>
      <c r="E1418" t="str">
        <f>"080069820971"</f>
        <v>080069820971</v>
      </c>
      <c r="F1418" s="3">
        <v>46001</v>
      </c>
      <c r="G1418">
        <v>202609</v>
      </c>
      <c r="H1418" t="s">
        <v>75</v>
      </c>
      <c r="I1418" t="s">
        <v>76</v>
      </c>
      <c r="J1418" t="s">
        <v>77</v>
      </c>
      <c r="K1418" t="s">
        <v>78</v>
      </c>
      <c r="L1418" t="s">
        <v>302</v>
      </c>
      <c r="M1418" t="s">
        <v>303</v>
      </c>
      <c r="N1418" t="s">
        <v>1296</v>
      </c>
      <c r="O1418" t="s">
        <v>80</v>
      </c>
      <c r="P1418" t="str">
        <f>"4170072865                    "</f>
        <v xml:space="preserve">4170072865                    </v>
      </c>
      <c r="Q1418">
        <v>0</v>
      </c>
      <c r="R1418">
        <v>0</v>
      </c>
      <c r="S1418">
        <v>0</v>
      </c>
      <c r="T1418">
        <v>0</v>
      </c>
      <c r="U1418">
        <v>0</v>
      </c>
      <c r="V1418">
        <v>0</v>
      </c>
      <c r="W1418">
        <v>0</v>
      </c>
      <c r="X1418">
        <v>0</v>
      </c>
      <c r="Y1418">
        <v>0</v>
      </c>
      <c r="Z1418">
        <v>0</v>
      </c>
      <c r="AA1418">
        <v>0</v>
      </c>
      <c r="AB1418">
        <v>0</v>
      </c>
      <c r="AC1418">
        <v>0</v>
      </c>
      <c r="AD1418">
        <v>0</v>
      </c>
      <c r="AE1418">
        <v>0</v>
      </c>
      <c r="AF1418">
        <v>0</v>
      </c>
      <c r="AG1418">
        <v>0</v>
      </c>
      <c r="AH1418">
        <v>0</v>
      </c>
      <c r="AI1418">
        <v>0</v>
      </c>
      <c r="AJ1418">
        <v>0</v>
      </c>
      <c r="AK1418">
        <v>0</v>
      </c>
      <c r="AL1418">
        <v>0</v>
      </c>
      <c r="AM1418">
        <v>0</v>
      </c>
      <c r="AN1418">
        <v>0</v>
      </c>
      <c r="AO1418">
        <v>0</v>
      </c>
      <c r="AP1418">
        <v>0</v>
      </c>
      <c r="AQ1418">
        <v>49.36</v>
      </c>
      <c r="AR1418">
        <v>0</v>
      </c>
      <c r="AS1418">
        <v>0</v>
      </c>
      <c r="AT1418">
        <v>0</v>
      </c>
      <c r="AU1418">
        <v>0</v>
      </c>
      <c r="AV1418">
        <v>0</v>
      </c>
      <c r="AW1418">
        <v>0</v>
      </c>
      <c r="AX1418">
        <v>0</v>
      </c>
      <c r="AY1418">
        <v>0</v>
      </c>
      <c r="AZ1418">
        <v>0</v>
      </c>
      <c r="BA1418">
        <v>0</v>
      </c>
      <c r="BB1418">
        <v>0</v>
      </c>
      <c r="BC1418">
        <v>0</v>
      </c>
      <c r="BD1418">
        <v>0</v>
      </c>
      <c r="BE1418">
        <v>0</v>
      </c>
      <c r="BF1418">
        <v>0</v>
      </c>
      <c r="BG1418">
        <v>0</v>
      </c>
      <c r="BH1418">
        <v>2</v>
      </c>
      <c r="BI1418">
        <v>7.2</v>
      </c>
      <c r="BJ1418">
        <v>5.8</v>
      </c>
      <c r="BK1418">
        <v>8</v>
      </c>
      <c r="BL1418">
        <v>153.19999999999999</v>
      </c>
      <c r="BM1418">
        <v>22.98</v>
      </c>
      <c r="BN1418">
        <v>176.18</v>
      </c>
      <c r="BO1418">
        <v>176.18</v>
      </c>
      <c r="BQ1418" t="s">
        <v>1297</v>
      </c>
      <c r="BR1418" t="s">
        <v>82</v>
      </c>
      <c r="BS1418" s="3">
        <v>46002</v>
      </c>
      <c r="BT1418" s="4">
        <v>0.44097222222222221</v>
      </c>
      <c r="BU1418" t="s">
        <v>2105</v>
      </c>
      <c r="BV1418" t="s">
        <v>84</v>
      </c>
      <c r="BY1418">
        <v>29178.2</v>
      </c>
      <c r="CA1418">
        <v>8602010437080</v>
      </c>
      <c r="CC1418" t="s">
        <v>303</v>
      </c>
      <c r="CD1418" s="5" t="s">
        <v>597</v>
      </c>
      <c r="CE1418" t="s">
        <v>134</v>
      </c>
      <c r="CF1418" s="3">
        <v>46002</v>
      </c>
      <c r="CI1418">
        <v>1</v>
      </c>
      <c r="CJ1418">
        <v>1</v>
      </c>
      <c r="CK1418">
        <v>41</v>
      </c>
      <c r="CL1418" t="s">
        <v>87</v>
      </c>
    </row>
    <row r="1419" spans="1:90" x14ac:dyDescent="0.3">
      <c r="A1419" t="s">
        <v>72</v>
      </c>
      <c r="B1419" t="s">
        <v>73</v>
      </c>
      <c r="C1419" t="s">
        <v>74</v>
      </c>
      <c r="E1419" t="str">
        <f>"080069821114"</f>
        <v>080069821114</v>
      </c>
      <c r="F1419" s="3">
        <v>46001</v>
      </c>
      <c r="G1419">
        <v>202609</v>
      </c>
      <c r="H1419" t="s">
        <v>75</v>
      </c>
      <c r="I1419" t="s">
        <v>76</v>
      </c>
      <c r="J1419" t="s">
        <v>77</v>
      </c>
      <c r="K1419" t="s">
        <v>78</v>
      </c>
      <c r="L1419" t="s">
        <v>332</v>
      </c>
      <c r="M1419" t="s">
        <v>333</v>
      </c>
      <c r="N1419" t="s">
        <v>334</v>
      </c>
      <c r="O1419" t="s">
        <v>80</v>
      </c>
      <c r="P1419" t="str">
        <f>"4170072906                    "</f>
        <v xml:space="preserve">4170072906                    </v>
      </c>
      <c r="Q1419">
        <v>0</v>
      </c>
      <c r="R1419">
        <v>0</v>
      </c>
      <c r="S1419">
        <v>0</v>
      </c>
      <c r="T1419">
        <v>0</v>
      </c>
      <c r="U1419">
        <v>0</v>
      </c>
      <c r="V1419">
        <v>0</v>
      </c>
      <c r="W1419">
        <v>0</v>
      </c>
      <c r="X1419">
        <v>0</v>
      </c>
      <c r="Y1419">
        <v>0</v>
      </c>
      <c r="Z1419">
        <v>0</v>
      </c>
      <c r="AA1419">
        <v>0</v>
      </c>
      <c r="AB1419">
        <v>0</v>
      </c>
      <c r="AC1419">
        <v>0</v>
      </c>
      <c r="AD1419">
        <v>0</v>
      </c>
      <c r="AE1419">
        <v>0</v>
      </c>
      <c r="AF1419">
        <v>0</v>
      </c>
      <c r="AG1419">
        <v>0</v>
      </c>
      <c r="AH1419">
        <v>0</v>
      </c>
      <c r="AI1419">
        <v>0</v>
      </c>
      <c r="AJ1419">
        <v>0</v>
      </c>
      <c r="AK1419">
        <v>0</v>
      </c>
      <c r="AL1419">
        <v>0</v>
      </c>
      <c r="AM1419">
        <v>0</v>
      </c>
      <c r="AN1419">
        <v>0</v>
      </c>
      <c r="AO1419">
        <v>0</v>
      </c>
      <c r="AP1419">
        <v>0</v>
      </c>
      <c r="AQ1419">
        <v>108.72</v>
      </c>
      <c r="AR1419">
        <v>0</v>
      </c>
      <c r="AS1419">
        <v>0</v>
      </c>
      <c r="AT1419">
        <v>0</v>
      </c>
      <c r="AU1419">
        <v>0</v>
      </c>
      <c r="AV1419">
        <v>0</v>
      </c>
      <c r="AW1419">
        <v>0</v>
      </c>
      <c r="AX1419">
        <v>0</v>
      </c>
      <c r="AY1419">
        <v>0</v>
      </c>
      <c r="AZ1419">
        <v>0</v>
      </c>
      <c r="BA1419">
        <v>0</v>
      </c>
      <c r="BB1419">
        <v>0</v>
      </c>
      <c r="BC1419">
        <v>0</v>
      </c>
      <c r="BD1419">
        <v>0</v>
      </c>
      <c r="BE1419">
        <v>0</v>
      </c>
      <c r="BF1419">
        <v>0</v>
      </c>
      <c r="BG1419">
        <v>0</v>
      </c>
      <c r="BH1419">
        <v>3</v>
      </c>
      <c r="BI1419">
        <v>25.3</v>
      </c>
      <c r="BJ1419">
        <v>5</v>
      </c>
      <c r="BK1419">
        <v>26</v>
      </c>
      <c r="BL1419">
        <v>330.11</v>
      </c>
      <c r="BM1419">
        <v>49.52</v>
      </c>
      <c r="BN1419">
        <v>379.63</v>
      </c>
      <c r="BO1419">
        <v>379.63</v>
      </c>
      <c r="BQ1419" t="s">
        <v>335</v>
      </c>
      <c r="BR1419" t="s">
        <v>82</v>
      </c>
      <c r="BS1419" t="s">
        <v>500</v>
      </c>
      <c r="BY1419">
        <v>24947.24</v>
      </c>
      <c r="CC1419" t="s">
        <v>333</v>
      </c>
      <c r="CD1419">
        <v>6500</v>
      </c>
      <c r="CE1419" t="s">
        <v>956</v>
      </c>
      <c r="CI1419">
        <v>3</v>
      </c>
      <c r="CJ1419" t="s">
        <v>500</v>
      </c>
      <c r="CK1419">
        <v>43</v>
      </c>
      <c r="CL1419" t="s">
        <v>87</v>
      </c>
    </row>
    <row r="1420" spans="1:90" x14ac:dyDescent="0.3">
      <c r="A1420" t="s">
        <v>72</v>
      </c>
      <c r="B1420" t="s">
        <v>73</v>
      </c>
      <c r="C1420" t="s">
        <v>74</v>
      </c>
      <c r="E1420" t="str">
        <f>"080069821167"</f>
        <v>080069821167</v>
      </c>
      <c r="F1420" s="3">
        <v>46001</v>
      </c>
      <c r="G1420">
        <v>202609</v>
      </c>
      <c r="H1420" t="s">
        <v>75</v>
      </c>
      <c r="I1420" t="s">
        <v>76</v>
      </c>
      <c r="J1420" t="s">
        <v>77</v>
      </c>
      <c r="K1420" t="s">
        <v>78</v>
      </c>
      <c r="L1420" t="s">
        <v>218</v>
      </c>
      <c r="M1420" t="s">
        <v>219</v>
      </c>
      <c r="N1420" t="s">
        <v>220</v>
      </c>
      <c r="O1420" t="s">
        <v>89</v>
      </c>
      <c r="P1420" t="str">
        <f>"4170072841                    "</f>
        <v xml:space="preserve">4170072841                    </v>
      </c>
      <c r="Q1420">
        <v>0</v>
      </c>
      <c r="R1420">
        <v>0</v>
      </c>
      <c r="S1420">
        <v>0</v>
      </c>
      <c r="T1420">
        <v>0</v>
      </c>
      <c r="U1420">
        <v>0</v>
      </c>
      <c r="V1420">
        <v>0</v>
      </c>
      <c r="W1420">
        <v>0</v>
      </c>
      <c r="X1420">
        <v>0</v>
      </c>
      <c r="Y1420">
        <v>0</v>
      </c>
      <c r="Z1420">
        <v>0</v>
      </c>
      <c r="AA1420">
        <v>0</v>
      </c>
      <c r="AB1420">
        <v>0</v>
      </c>
      <c r="AC1420">
        <v>0</v>
      </c>
      <c r="AD1420">
        <v>0</v>
      </c>
      <c r="AE1420">
        <v>0</v>
      </c>
      <c r="AF1420">
        <v>0</v>
      </c>
      <c r="AG1420">
        <v>0</v>
      </c>
      <c r="AH1420">
        <v>0</v>
      </c>
      <c r="AI1420">
        <v>0</v>
      </c>
      <c r="AJ1420">
        <v>0</v>
      </c>
      <c r="AK1420">
        <v>0</v>
      </c>
      <c r="AL1420">
        <v>0</v>
      </c>
      <c r="AM1420">
        <v>0</v>
      </c>
      <c r="AN1420">
        <v>0</v>
      </c>
      <c r="AO1420">
        <v>0</v>
      </c>
      <c r="AP1420">
        <v>0</v>
      </c>
      <c r="AQ1420">
        <v>350.92</v>
      </c>
      <c r="AR1420">
        <v>0</v>
      </c>
      <c r="AS1420">
        <v>0</v>
      </c>
      <c r="AT1420">
        <v>0</v>
      </c>
      <c r="AU1420">
        <v>0</v>
      </c>
      <c r="AV1420">
        <v>0</v>
      </c>
      <c r="AW1420">
        <v>0</v>
      </c>
      <c r="AX1420">
        <v>0</v>
      </c>
      <c r="AY1420">
        <v>0</v>
      </c>
      <c r="AZ1420">
        <v>0</v>
      </c>
      <c r="BA1420">
        <v>0</v>
      </c>
      <c r="BB1420">
        <v>0</v>
      </c>
      <c r="BC1420">
        <v>0</v>
      </c>
      <c r="BD1420">
        <v>0</v>
      </c>
      <c r="BE1420">
        <v>0</v>
      </c>
      <c r="BF1420">
        <v>0</v>
      </c>
      <c r="BG1420">
        <v>0</v>
      </c>
      <c r="BH1420">
        <v>1</v>
      </c>
      <c r="BI1420">
        <v>0.2</v>
      </c>
      <c r="BJ1420">
        <v>15.4</v>
      </c>
      <c r="BK1420">
        <v>15.5</v>
      </c>
      <c r="BL1420">
        <v>1045.82</v>
      </c>
      <c r="BM1420">
        <v>156.87</v>
      </c>
      <c r="BN1420">
        <v>1202.69</v>
      </c>
      <c r="BO1420">
        <v>1202.69</v>
      </c>
      <c r="BQ1420" t="s">
        <v>221</v>
      </c>
      <c r="BR1420" t="s">
        <v>82</v>
      </c>
      <c r="BS1420" s="3">
        <v>46002</v>
      </c>
      <c r="BT1420" s="4">
        <v>0.3125</v>
      </c>
      <c r="BU1420" t="s">
        <v>222</v>
      </c>
      <c r="BV1420" t="s">
        <v>84</v>
      </c>
      <c r="BY1420">
        <v>76960</v>
      </c>
      <c r="CC1420" t="s">
        <v>219</v>
      </c>
      <c r="CD1420">
        <v>2740</v>
      </c>
      <c r="CE1420" t="s">
        <v>134</v>
      </c>
      <c r="CI1420">
        <v>1</v>
      </c>
      <c r="CJ1420">
        <v>1</v>
      </c>
      <c r="CK1420">
        <v>23</v>
      </c>
      <c r="CL1420" t="s">
        <v>87</v>
      </c>
    </row>
    <row r="1421" spans="1:90" x14ac:dyDescent="0.3">
      <c r="A1421" t="s">
        <v>72</v>
      </c>
      <c r="B1421" t="s">
        <v>73</v>
      </c>
      <c r="C1421" t="s">
        <v>74</v>
      </c>
      <c r="E1421" t="str">
        <f>"080069821205"</f>
        <v>080069821205</v>
      </c>
      <c r="F1421" s="3">
        <v>46001</v>
      </c>
      <c r="G1421">
        <v>202609</v>
      </c>
      <c r="H1421" t="s">
        <v>75</v>
      </c>
      <c r="I1421" t="s">
        <v>76</v>
      </c>
      <c r="J1421" t="s">
        <v>77</v>
      </c>
      <c r="K1421" t="s">
        <v>78</v>
      </c>
      <c r="L1421" t="s">
        <v>302</v>
      </c>
      <c r="M1421" t="s">
        <v>303</v>
      </c>
      <c r="N1421" t="s">
        <v>425</v>
      </c>
      <c r="O1421" t="s">
        <v>80</v>
      </c>
      <c r="P1421" t="str">
        <f>"4170072918                    "</f>
        <v xml:space="preserve">4170072918                    </v>
      </c>
      <c r="Q1421">
        <v>0</v>
      </c>
      <c r="R1421">
        <v>0</v>
      </c>
      <c r="S1421">
        <v>0</v>
      </c>
      <c r="T1421">
        <v>0</v>
      </c>
      <c r="U1421">
        <v>0</v>
      </c>
      <c r="V1421">
        <v>0</v>
      </c>
      <c r="W1421">
        <v>0</v>
      </c>
      <c r="X1421">
        <v>0</v>
      </c>
      <c r="Y1421">
        <v>0</v>
      </c>
      <c r="Z1421">
        <v>0</v>
      </c>
      <c r="AA1421">
        <v>0</v>
      </c>
      <c r="AB1421">
        <v>0</v>
      </c>
      <c r="AC1421">
        <v>0</v>
      </c>
      <c r="AD1421">
        <v>0</v>
      </c>
      <c r="AE1421">
        <v>0</v>
      </c>
      <c r="AF1421">
        <v>0</v>
      </c>
      <c r="AG1421">
        <v>0</v>
      </c>
      <c r="AH1421">
        <v>0</v>
      </c>
      <c r="AI1421">
        <v>0</v>
      </c>
      <c r="AJ1421">
        <v>0</v>
      </c>
      <c r="AK1421">
        <v>0</v>
      </c>
      <c r="AL1421">
        <v>0</v>
      </c>
      <c r="AM1421">
        <v>0</v>
      </c>
      <c r="AN1421">
        <v>0</v>
      </c>
      <c r="AO1421">
        <v>0</v>
      </c>
      <c r="AP1421">
        <v>0</v>
      </c>
      <c r="AQ1421">
        <v>49.36</v>
      </c>
      <c r="AR1421">
        <v>0</v>
      </c>
      <c r="AS1421">
        <v>0</v>
      </c>
      <c r="AT1421">
        <v>0</v>
      </c>
      <c r="AU1421">
        <v>0</v>
      </c>
      <c r="AV1421">
        <v>0</v>
      </c>
      <c r="AW1421">
        <v>0</v>
      </c>
      <c r="AX1421">
        <v>0</v>
      </c>
      <c r="AY1421">
        <v>0</v>
      </c>
      <c r="AZ1421">
        <v>0</v>
      </c>
      <c r="BA1421">
        <v>0</v>
      </c>
      <c r="BB1421">
        <v>0</v>
      </c>
      <c r="BC1421">
        <v>0</v>
      </c>
      <c r="BD1421">
        <v>0</v>
      </c>
      <c r="BE1421">
        <v>0</v>
      </c>
      <c r="BF1421">
        <v>0</v>
      </c>
      <c r="BG1421">
        <v>0</v>
      </c>
      <c r="BH1421">
        <v>1</v>
      </c>
      <c r="BI1421">
        <v>10</v>
      </c>
      <c r="BJ1421">
        <v>1.9</v>
      </c>
      <c r="BK1421">
        <v>10</v>
      </c>
      <c r="BL1421">
        <v>153.19999999999999</v>
      </c>
      <c r="BM1421">
        <v>22.98</v>
      </c>
      <c r="BN1421">
        <v>176.18</v>
      </c>
      <c r="BO1421">
        <v>176.18</v>
      </c>
      <c r="BQ1421" t="s">
        <v>426</v>
      </c>
      <c r="BR1421" t="s">
        <v>82</v>
      </c>
      <c r="BS1421" s="3">
        <v>46002</v>
      </c>
      <c r="BT1421" s="4">
        <v>0.36527777777777776</v>
      </c>
      <c r="BU1421" t="s">
        <v>524</v>
      </c>
      <c r="BV1421" t="s">
        <v>84</v>
      </c>
      <c r="BY1421">
        <v>9576</v>
      </c>
      <c r="CA1421">
        <v>7712195338085</v>
      </c>
      <c r="CC1421" t="s">
        <v>303</v>
      </c>
      <c r="CD1421" s="5" t="s">
        <v>350</v>
      </c>
      <c r="CE1421" t="s">
        <v>86</v>
      </c>
      <c r="CF1421" s="3">
        <v>46002</v>
      </c>
      <c r="CI1421">
        <v>1</v>
      </c>
      <c r="CJ1421">
        <v>1</v>
      </c>
      <c r="CK1421">
        <v>41</v>
      </c>
      <c r="CL1421" t="s">
        <v>87</v>
      </c>
    </row>
    <row r="1422" spans="1:90" x14ac:dyDescent="0.3">
      <c r="A1422" t="s">
        <v>72</v>
      </c>
      <c r="B1422" t="s">
        <v>73</v>
      </c>
      <c r="C1422" t="s">
        <v>74</v>
      </c>
      <c r="E1422" t="str">
        <f>"080069821256"</f>
        <v>080069821256</v>
      </c>
      <c r="F1422" s="3">
        <v>46001</v>
      </c>
      <c r="G1422">
        <v>202609</v>
      </c>
      <c r="H1422" t="s">
        <v>75</v>
      </c>
      <c r="I1422" t="s">
        <v>76</v>
      </c>
      <c r="J1422" t="s">
        <v>77</v>
      </c>
      <c r="K1422" t="s">
        <v>78</v>
      </c>
      <c r="L1422" t="s">
        <v>458</v>
      </c>
      <c r="M1422" t="s">
        <v>459</v>
      </c>
      <c r="N1422" t="s">
        <v>460</v>
      </c>
      <c r="O1422" t="s">
        <v>89</v>
      </c>
      <c r="P1422" t="str">
        <f>"4170072797                    "</f>
        <v xml:space="preserve">4170072797                    </v>
      </c>
      <c r="Q1422">
        <v>0</v>
      </c>
      <c r="R1422">
        <v>0</v>
      </c>
      <c r="S1422">
        <v>0</v>
      </c>
      <c r="T1422">
        <v>0</v>
      </c>
      <c r="U1422">
        <v>0</v>
      </c>
      <c r="V1422">
        <v>0</v>
      </c>
      <c r="W1422">
        <v>0</v>
      </c>
      <c r="X1422">
        <v>0</v>
      </c>
      <c r="Y1422">
        <v>0</v>
      </c>
      <c r="Z1422">
        <v>0</v>
      </c>
      <c r="AA1422">
        <v>0</v>
      </c>
      <c r="AB1422">
        <v>0</v>
      </c>
      <c r="AC1422">
        <v>0</v>
      </c>
      <c r="AD1422">
        <v>0</v>
      </c>
      <c r="AE1422">
        <v>0</v>
      </c>
      <c r="AF1422">
        <v>0</v>
      </c>
      <c r="AG1422">
        <v>0</v>
      </c>
      <c r="AH1422">
        <v>0</v>
      </c>
      <c r="AI1422">
        <v>0</v>
      </c>
      <c r="AJ1422">
        <v>0</v>
      </c>
      <c r="AK1422">
        <v>0</v>
      </c>
      <c r="AL1422">
        <v>0</v>
      </c>
      <c r="AM1422">
        <v>0</v>
      </c>
      <c r="AN1422">
        <v>0</v>
      </c>
      <c r="AO1422">
        <v>0</v>
      </c>
      <c r="AP1422">
        <v>0</v>
      </c>
      <c r="AQ1422">
        <v>49.45</v>
      </c>
      <c r="AR1422">
        <v>0</v>
      </c>
      <c r="AS1422">
        <v>0</v>
      </c>
      <c r="AT1422">
        <v>0</v>
      </c>
      <c r="AU1422">
        <v>0</v>
      </c>
      <c r="AV1422">
        <v>0</v>
      </c>
      <c r="AW1422">
        <v>0</v>
      </c>
      <c r="AX1422">
        <v>0</v>
      </c>
      <c r="AY1422">
        <v>0</v>
      </c>
      <c r="AZ1422">
        <v>0</v>
      </c>
      <c r="BA1422">
        <v>0</v>
      </c>
      <c r="BB1422">
        <v>0</v>
      </c>
      <c r="BC1422">
        <v>0</v>
      </c>
      <c r="BD1422">
        <v>0</v>
      </c>
      <c r="BE1422">
        <v>0</v>
      </c>
      <c r="BF1422">
        <v>0</v>
      </c>
      <c r="BG1422">
        <v>0</v>
      </c>
      <c r="BH1422">
        <v>1</v>
      </c>
      <c r="BI1422">
        <v>1</v>
      </c>
      <c r="BJ1422">
        <v>1.1000000000000001</v>
      </c>
      <c r="BK1422">
        <v>1.5</v>
      </c>
      <c r="BL1422">
        <v>147.38</v>
      </c>
      <c r="BM1422">
        <v>22.11</v>
      </c>
      <c r="BN1422">
        <v>169.49</v>
      </c>
      <c r="BO1422">
        <v>169.49</v>
      </c>
      <c r="BQ1422" t="s">
        <v>461</v>
      </c>
      <c r="BR1422" t="s">
        <v>82</v>
      </c>
      <c r="BS1422" s="3">
        <v>46002</v>
      </c>
      <c r="BT1422" s="4">
        <v>0.51875000000000004</v>
      </c>
      <c r="BU1422" t="s">
        <v>462</v>
      </c>
      <c r="BV1422" t="s">
        <v>84</v>
      </c>
      <c r="BY1422">
        <v>5320</v>
      </c>
      <c r="CA1422" t="s">
        <v>463</v>
      </c>
      <c r="CC1422" t="s">
        <v>459</v>
      </c>
      <c r="CD1422">
        <v>7130</v>
      </c>
      <c r="CE1422" t="s">
        <v>86</v>
      </c>
      <c r="CI1422">
        <v>1</v>
      </c>
      <c r="CJ1422">
        <v>1</v>
      </c>
      <c r="CK1422">
        <v>23</v>
      </c>
      <c r="CL1422" t="s">
        <v>87</v>
      </c>
    </row>
    <row r="1423" spans="1:90" x14ac:dyDescent="0.3">
      <c r="A1423" t="s">
        <v>72</v>
      </c>
      <c r="B1423" t="s">
        <v>73</v>
      </c>
      <c r="C1423" t="s">
        <v>74</v>
      </c>
      <c r="E1423" t="str">
        <f>"080069821402"</f>
        <v>080069821402</v>
      </c>
      <c r="F1423" s="3">
        <v>46001</v>
      </c>
      <c r="G1423">
        <v>202609</v>
      </c>
      <c r="H1423" t="s">
        <v>75</v>
      </c>
      <c r="I1423" t="s">
        <v>76</v>
      </c>
      <c r="J1423" t="s">
        <v>77</v>
      </c>
      <c r="K1423" t="s">
        <v>78</v>
      </c>
      <c r="L1423" t="s">
        <v>465</v>
      </c>
      <c r="M1423" t="s">
        <v>466</v>
      </c>
      <c r="N1423" t="s">
        <v>2106</v>
      </c>
      <c r="O1423" t="s">
        <v>89</v>
      </c>
      <c r="P1423" t="str">
        <f>"4170072853                    "</f>
        <v xml:space="preserve">4170072853                    </v>
      </c>
      <c r="Q1423">
        <v>0</v>
      </c>
      <c r="R1423">
        <v>0</v>
      </c>
      <c r="S1423">
        <v>0</v>
      </c>
      <c r="T1423">
        <v>0</v>
      </c>
      <c r="U1423">
        <v>0</v>
      </c>
      <c r="V1423">
        <v>0</v>
      </c>
      <c r="W1423">
        <v>0</v>
      </c>
      <c r="X1423">
        <v>0</v>
      </c>
      <c r="Y1423">
        <v>0</v>
      </c>
      <c r="Z1423">
        <v>0</v>
      </c>
      <c r="AA1423">
        <v>0</v>
      </c>
      <c r="AB1423">
        <v>0</v>
      </c>
      <c r="AC1423">
        <v>0</v>
      </c>
      <c r="AD1423">
        <v>0</v>
      </c>
      <c r="AE1423">
        <v>0</v>
      </c>
      <c r="AF1423">
        <v>0</v>
      </c>
      <c r="AG1423">
        <v>0</v>
      </c>
      <c r="AH1423">
        <v>0</v>
      </c>
      <c r="AI1423">
        <v>0</v>
      </c>
      <c r="AJ1423">
        <v>0</v>
      </c>
      <c r="AK1423">
        <v>0</v>
      </c>
      <c r="AL1423">
        <v>0</v>
      </c>
      <c r="AM1423">
        <v>0</v>
      </c>
      <c r="AN1423">
        <v>0</v>
      </c>
      <c r="AO1423">
        <v>0</v>
      </c>
      <c r="AP1423">
        <v>0</v>
      </c>
      <c r="AQ1423">
        <v>19.940000000000001</v>
      </c>
      <c r="AR1423">
        <v>0</v>
      </c>
      <c r="AS1423">
        <v>0</v>
      </c>
      <c r="AT1423">
        <v>0</v>
      </c>
      <c r="AU1423">
        <v>0</v>
      </c>
      <c r="AV1423">
        <v>0</v>
      </c>
      <c r="AW1423">
        <v>0</v>
      </c>
      <c r="AX1423">
        <v>0</v>
      </c>
      <c r="AY1423">
        <v>0</v>
      </c>
      <c r="AZ1423">
        <v>0</v>
      </c>
      <c r="BA1423">
        <v>0</v>
      </c>
      <c r="BB1423">
        <v>0</v>
      </c>
      <c r="BC1423">
        <v>0</v>
      </c>
      <c r="BD1423">
        <v>0</v>
      </c>
      <c r="BE1423">
        <v>0</v>
      </c>
      <c r="BF1423">
        <v>0</v>
      </c>
      <c r="BG1423">
        <v>0</v>
      </c>
      <c r="BH1423">
        <v>1</v>
      </c>
      <c r="BI1423">
        <v>1</v>
      </c>
      <c r="BJ1423">
        <v>0.2</v>
      </c>
      <c r="BK1423">
        <v>1</v>
      </c>
      <c r="BL1423">
        <v>59.42</v>
      </c>
      <c r="BM1423">
        <v>8.91</v>
      </c>
      <c r="BN1423">
        <v>68.33</v>
      </c>
      <c r="BO1423">
        <v>68.33</v>
      </c>
      <c r="BQ1423" t="s">
        <v>2107</v>
      </c>
      <c r="BR1423" t="s">
        <v>82</v>
      </c>
      <c r="BS1423" s="3">
        <v>46002</v>
      </c>
      <c r="BT1423" s="4">
        <v>0.43611111111111112</v>
      </c>
      <c r="BU1423" t="s">
        <v>2108</v>
      </c>
      <c r="BV1423" t="s">
        <v>84</v>
      </c>
      <c r="BY1423">
        <v>1200</v>
      </c>
      <c r="CA1423" t="s">
        <v>1097</v>
      </c>
      <c r="CC1423" t="s">
        <v>466</v>
      </c>
      <c r="CD1423">
        <v>1401</v>
      </c>
      <c r="CE1423" t="s">
        <v>134</v>
      </c>
      <c r="CF1423" s="3">
        <v>46002</v>
      </c>
      <c r="CI1423">
        <v>1</v>
      </c>
      <c r="CJ1423">
        <v>1</v>
      </c>
      <c r="CK1423">
        <v>22</v>
      </c>
      <c r="CL1423" t="s">
        <v>87</v>
      </c>
    </row>
    <row r="1424" spans="1:90" x14ac:dyDescent="0.3">
      <c r="A1424" t="s">
        <v>72</v>
      </c>
      <c r="B1424" t="s">
        <v>73</v>
      </c>
      <c r="C1424" t="s">
        <v>74</v>
      </c>
      <c r="E1424" t="str">
        <f>"080069821689"</f>
        <v>080069821689</v>
      </c>
      <c r="F1424" s="3">
        <v>46001</v>
      </c>
      <c r="G1424">
        <v>202609</v>
      </c>
      <c r="H1424" t="s">
        <v>75</v>
      </c>
      <c r="I1424" t="s">
        <v>76</v>
      </c>
      <c r="J1424" t="s">
        <v>77</v>
      </c>
      <c r="K1424" t="s">
        <v>78</v>
      </c>
      <c r="L1424" t="s">
        <v>265</v>
      </c>
      <c r="M1424" t="s">
        <v>266</v>
      </c>
      <c r="N1424" t="s">
        <v>2109</v>
      </c>
      <c r="O1424" t="s">
        <v>340</v>
      </c>
      <c r="P1424" t="str">
        <f>"4170072770                    "</f>
        <v xml:space="preserve">4170072770                    </v>
      </c>
      <c r="Q1424">
        <v>0</v>
      </c>
      <c r="R1424">
        <v>0</v>
      </c>
      <c r="S1424">
        <v>0</v>
      </c>
      <c r="T1424">
        <v>0</v>
      </c>
      <c r="U1424">
        <v>0</v>
      </c>
      <c r="V1424">
        <v>0</v>
      </c>
      <c r="W1424">
        <v>0</v>
      </c>
      <c r="X1424">
        <v>0</v>
      </c>
      <c r="Y1424">
        <v>0</v>
      </c>
      <c r="Z1424">
        <v>0</v>
      </c>
      <c r="AA1424">
        <v>0</v>
      </c>
      <c r="AB1424">
        <v>0</v>
      </c>
      <c r="AC1424">
        <v>0</v>
      </c>
      <c r="AD1424">
        <v>0</v>
      </c>
      <c r="AE1424">
        <v>0</v>
      </c>
      <c r="AF1424">
        <v>0</v>
      </c>
      <c r="AG1424">
        <v>0</v>
      </c>
      <c r="AH1424">
        <v>0</v>
      </c>
      <c r="AI1424">
        <v>0</v>
      </c>
      <c r="AJ1424">
        <v>0</v>
      </c>
      <c r="AK1424">
        <v>0</v>
      </c>
      <c r="AL1424">
        <v>0</v>
      </c>
      <c r="AM1424">
        <v>0</v>
      </c>
      <c r="AN1424">
        <v>0</v>
      </c>
      <c r="AO1424">
        <v>0</v>
      </c>
      <c r="AP1424">
        <v>0</v>
      </c>
      <c r="AQ1424">
        <v>22.18</v>
      </c>
      <c r="AR1424">
        <v>0</v>
      </c>
      <c r="AS1424">
        <v>0</v>
      </c>
      <c r="AT1424">
        <v>0</v>
      </c>
      <c r="AU1424">
        <v>0</v>
      </c>
      <c r="AV1424">
        <v>0</v>
      </c>
      <c r="AW1424">
        <v>0</v>
      </c>
      <c r="AX1424">
        <v>0</v>
      </c>
      <c r="AY1424">
        <v>0</v>
      </c>
      <c r="AZ1424">
        <v>0</v>
      </c>
      <c r="BA1424">
        <v>0</v>
      </c>
      <c r="BB1424">
        <v>0</v>
      </c>
      <c r="BC1424">
        <v>0</v>
      </c>
      <c r="BD1424">
        <v>0</v>
      </c>
      <c r="BE1424">
        <v>0</v>
      </c>
      <c r="BF1424">
        <v>0</v>
      </c>
      <c r="BG1424">
        <v>0</v>
      </c>
      <c r="BH1424">
        <v>2</v>
      </c>
      <c r="BI1424">
        <v>8.3000000000000007</v>
      </c>
      <c r="BJ1424">
        <v>9</v>
      </c>
      <c r="BK1424">
        <v>9</v>
      </c>
      <c r="BL1424">
        <v>66.099999999999994</v>
      </c>
      <c r="BM1424">
        <v>9.92</v>
      </c>
      <c r="BN1424">
        <v>76.02</v>
      </c>
      <c r="BO1424">
        <v>76.02</v>
      </c>
      <c r="BQ1424" t="s">
        <v>2110</v>
      </c>
      <c r="BR1424" t="s">
        <v>82</v>
      </c>
      <c r="BS1424" s="3">
        <v>46002</v>
      </c>
      <c r="BT1424" s="4">
        <v>0.5625</v>
      </c>
      <c r="BU1424" t="s">
        <v>2111</v>
      </c>
      <c r="BV1424" t="s">
        <v>87</v>
      </c>
      <c r="BY1424">
        <v>45122.36</v>
      </c>
      <c r="CA1424" t="s">
        <v>417</v>
      </c>
      <c r="CC1424" t="s">
        <v>266</v>
      </c>
      <c r="CD1424">
        <v>1459</v>
      </c>
      <c r="CE1424" t="s">
        <v>894</v>
      </c>
      <c r="CF1424" s="3">
        <v>46003</v>
      </c>
      <c r="CI1424">
        <v>1</v>
      </c>
      <c r="CJ1424">
        <v>1</v>
      </c>
      <c r="CK1424">
        <v>32</v>
      </c>
      <c r="CL1424" t="s">
        <v>87</v>
      </c>
    </row>
    <row r="1425" spans="1:90" x14ac:dyDescent="0.3">
      <c r="A1425" t="s">
        <v>72</v>
      </c>
      <c r="B1425" t="s">
        <v>73</v>
      </c>
      <c r="C1425" t="s">
        <v>74</v>
      </c>
      <c r="E1425" t="str">
        <f>"080011703610"</f>
        <v>080011703610</v>
      </c>
      <c r="F1425" s="3">
        <v>46001</v>
      </c>
      <c r="G1425">
        <v>202609</v>
      </c>
      <c r="H1425" t="s">
        <v>75</v>
      </c>
      <c r="I1425" t="s">
        <v>76</v>
      </c>
      <c r="J1425" t="s">
        <v>2112</v>
      </c>
      <c r="K1425" t="s">
        <v>78</v>
      </c>
      <c r="L1425" t="s">
        <v>75</v>
      </c>
      <c r="M1425" t="s">
        <v>76</v>
      </c>
      <c r="N1425" t="s">
        <v>602</v>
      </c>
      <c r="O1425" t="s">
        <v>89</v>
      </c>
      <c r="P1425" t="str">
        <f>"ZA1001430057                  "</f>
        <v xml:space="preserve">ZA1001430057                  </v>
      </c>
      <c r="Q1425">
        <v>0</v>
      </c>
      <c r="R1425">
        <v>0</v>
      </c>
      <c r="S1425">
        <v>0</v>
      </c>
      <c r="T1425">
        <v>0</v>
      </c>
      <c r="U1425">
        <v>0</v>
      </c>
      <c r="V1425">
        <v>0</v>
      </c>
      <c r="W1425">
        <v>0</v>
      </c>
      <c r="X1425">
        <v>0</v>
      </c>
      <c r="Y1425">
        <v>0</v>
      </c>
      <c r="Z1425">
        <v>0</v>
      </c>
      <c r="AA1425">
        <v>0</v>
      </c>
      <c r="AB1425">
        <v>0</v>
      </c>
      <c r="AC1425">
        <v>0</v>
      </c>
      <c r="AD1425">
        <v>0</v>
      </c>
      <c r="AE1425">
        <v>0</v>
      </c>
      <c r="AF1425">
        <v>0</v>
      </c>
      <c r="AG1425">
        <v>0</v>
      </c>
      <c r="AH1425">
        <v>0</v>
      </c>
      <c r="AI1425">
        <v>0</v>
      </c>
      <c r="AJ1425">
        <v>0</v>
      </c>
      <c r="AK1425">
        <v>0</v>
      </c>
      <c r="AL1425">
        <v>0</v>
      </c>
      <c r="AM1425">
        <v>0</v>
      </c>
      <c r="AN1425">
        <v>0</v>
      </c>
      <c r="AO1425">
        <v>0</v>
      </c>
      <c r="AP1425">
        <v>0</v>
      </c>
      <c r="AQ1425">
        <v>19.940000000000001</v>
      </c>
      <c r="AR1425">
        <v>0</v>
      </c>
      <c r="AS1425">
        <v>0</v>
      </c>
      <c r="AT1425">
        <v>0</v>
      </c>
      <c r="AU1425">
        <v>0</v>
      </c>
      <c r="AV1425">
        <v>0</v>
      </c>
      <c r="AW1425">
        <v>0</v>
      </c>
      <c r="AX1425">
        <v>0</v>
      </c>
      <c r="AY1425">
        <v>0</v>
      </c>
      <c r="AZ1425">
        <v>0</v>
      </c>
      <c r="BA1425">
        <v>0</v>
      </c>
      <c r="BB1425">
        <v>0</v>
      </c>
      <c r="BC1425">
        <v>0</v>
      </c>
      <c r="BD1425">
        <v>0</v>
      </c>
      <c r="BE1425">
        <v>0</v>
      </c>
      <c r="BF1425">
        <v>0</v>
      </c>
      <c r="BG1425">
        <v>0</v>
      </c>
      <c r="BH1425">
        <v>1</v>
      </c>
      <c r="BI1425">
        <v>3</v>
      </c>
      <c r="BJ1425">
        <v>3.6</v>
      </c>
      <c r="BK1425">
        <v>4</v>
      </c>
      <c r="BL1425">
        <v>59.42</v>
      </c>
      <c r="BM1425">
        <v>8.91</v>
      </c>
      <c r="BN1425">
        <v>68.33</v>
      </c>
      <c r="BO1425">
        <v>68.33</v>
      </c>
      <c r="BQ1425" t="s">
        <v>603</v>
      </c>
      <c r="BR1425" t="s">
        <v>2113</v>
      </c>
      <c r="BS1425" s="3">
        <v>46002</v>
      </c>
      <c r="BT1425" s="4">
        <v>0.50416666666666665</v>
      </c>
      <c r="BU1425" t="s">
        <v>1983</v>
      </c>
      <c r="BV1425" t="s">
        <v>87</v>
      </c>
      <c r="BW1425" t="s">
        <v>174</v>
      </c>
      <c r="BX1425" t="s">
        <v>198</v>
      </c>
      <c r="BY1425">
        <v>18000</v>
      </c>
      <c r="BZ1425" t="s">
        <v>271</v>
      </c>
      <c r="CA1425" t="s">
        <v>606</v>
      </c>
      <c r="CC1425" t="s">
        <v>76</v>
      </c>
      <c r="CD1425">
        <v>1619</v>
      </c>
      <c r="CE1425" t="s">
        <v>607</v>
      </c>
      <c r="CF1425" s="3">
        <v>46003</v>
      </c>
      <c r="CI1425">
        <v>1</v>
      </c>
      <c r="CJ1425">
        <v>1</v>
      </c>
      <c r="CK1425">
        <v>22</v>
      </c>
      <c r="CL1425" t="s">
        <v>87</v>
      </c>
    </row>
    <row r="1426" spans="1:90" x14ac:dyDescent="0.3">
      <c r="A1426" t="s">
        <v>72</v>
      </c>
      <c r="B1426" t="s">
        <v>73</v>
      </c>
      <c r="C1426" t="s">
        <v>74</v>
      </c>
      <c r="E1426" t="str">
        <f>"080011704460"</f>
        <v>080011704460</v>
      </c>
      <c r="F1426" s="3">
        <v>46001</v>
      </c>
      <c r="G1426">
        <v>202609</v>
      </c>
      <c r="H1426" t="s">
        <v>156</v>
      </c>
      <c r="I1426" t="s">
        <v>157</v>
      </c>
      <c r="J1426" t="s">
        <v>2114</v>
      </c>
      <c r="K1426" t="s">
        <v>78</v>
      </c>
      <c r="L1426" t="s">
        <v>75</v>
      </c>
      <c r="M1426" t="s">
        <v>76</v>
      </c>
      <c r="N1426" t="s">
        <v>602</v>
      </c>
      <c r="O1426" t="s">
        <v>80</v>
      </c>
      <c r="P1426" t="str">
        <f>"Neville Dec 9                 "</f>
        <v xml:space="preserve">Neville Dec 9                 </v>
      </c>
      <c r="Q1426">
        <v>0</v>
      </c>
      <c r="R1426">
        <v>0</v>
      </c>
      <c r="S1426">
        <v>0</v>
      </c>
      <c r="T1426">
        <v>0</v>
      </c>
      <c r="U1426">
        <v>0</v>
      </c>
      <c r="V1426">
        <v>0</v>
      </c>
      <c r="W1426">
        <v>0</v>
      </c>
      <c r="X1426">
        <v>0</v>
      </c>
      <c r="Y1426">
        <v>0</v>
      </c>
      <c r="Z1426">
        <v>0</v>
      </c>
      <c r="AA1426">
        <v>0</v>
      </c>
      <c r="AB1426">
        <v>0</v>
      </c>
      <c r="AC1426">
        <v>0</v>
      </c>
      <c r="AD1426">
        <v>0</v>
      </c>
      <c r="AE1426">
        <v>0</v>
      </c>
      <c r="AF1426">
        <v>0</v>
      </c>
      <c r="AG1426">
        <v>0</v>
      </c>
      <c r="AH1426">
        <v>0</v>
      </c>
      <c r="AI1426">
        <v>0</v>
      </c>
      <c r="AJ1426">
        <v>0</v>
      </c>
      <c r="AK1426">
        <v>0</v>
      </c>
      <c r="AL1426">
        <v>0</v>
      </c>
      <c r="AM1426">
        <v>0</v>
      </c>
      <c r="AN1426">
        <v>0</v>
      </c>
      <c r="AO1426">
        <v>0</v>
      </c>
      <c r="AP1426">
        <v>0</v>
      </c>
      <c r="AQ1426">
        <v>49.36</v>
      </c>
      <c r="AR1426">
        <v>0</v>
      </c>
      <c r="AS1426">
        <v>0</v>
      </c>
      <c r="AT1426">
        <v>0</v>
      </c>
      <c r="AU1426">
        <v>0</v>
      </c>
      <c r="AV1426">
        <v>0</v>
      </c>
      <c r="AW1426">
        <v>0</v>
      </c>
      <c r="AX1426">
        <v>0</v>
      </c>
      <c r="AY1426">
        <v>0</v>
      </c>
      <c r="AZ1426">
        <v>0</v>
      </c>
      <c r="BA1426">
        <v>0</v>
      </c>
      <c r="BB1426">
        <v>0</v>
      </c>
      <c r="BC1426">
        <v>0</v>
      </c>
      <c r="BD1426">
        <v>0</v>
      </c>
      <c r="BE1426">
        <v>0</v>
      </c>
      <c r="BF1426">
        <v>0</v>
      </c>
      <c r="BG1426">
        <v>0</v>
      </c>
      <c r="BH1426">
        <v>1</v>
      </c>
      <c r="BI1426">
        <v>2</v>
      </c>
      <c r="BJ1426">
        <v>11.1</v>
      </c>
      <c r="BK1426">
        <v>12</v>
      </c>
      <c r="BL1426">
        <v>153.19999999999999</v>
      </c>
      <c r="BM1426">
        <v>22.98</v>
      </c>
      <c r="BN1426">
        <v>176.18</v>
      </c>
      <c r="BO1426">
        <v>176.18</v>
      </c>
      <c r="BP1426" t="s">
        <v>2115</v>
      </c>
      <c r="BQ1426" t="s">
        <v>603</v>
      </c>
      <c r="BR1426" t="s">
        <v>2116</v>
      </c>
      <c r="BS1426" t="s">
        <v>500</v>
      </c>
      <c r="BY1426">
        <v>55736.85</v>
      </c>
      <c r="BZ1426" t="s">
        <v>731</v>
      </c>
      <c r="CC1426" t="s">
        <v>76</v>
      </c>
      <c r="CD1426">
        <v>1619</v>
      </c>
      <c r="CE1426" t="s">
        <v>607</v>
      </c>
      <c r="CI1426">
        <v>3</v>
      </c>
      <c r="CJ1426" t="s">
        <v>500</v>
      </c>
      <c r="CK1426">
        <v>41</v>
      </c>
      <c r="CL1426" t="s">
        <v>87</v>
      </c>
    </row>
    <row r="1427" spans="1:90" x14ac:dyDescent="0.3">
      <c r="A1427" t="s">
        <v>72</v>
      </c>
      <c r="B1427" t="s">
        <v>73</v>
      </c>
      <c r="C1427" t="s">
        <v>74</v>
      </c>
      <c r="E1427" t="str">
        <f>"080011704470"</f>
        <v>080011704470</v>
      </c>
      <c r="F1427" s="3">
        <v>46001</v>
      </c>
      <c r="G1427">
        <v>202609</v>
      </c>
      <c r="H1427" t="s">
        <v>75</v>
      </c>
      <c r="I1427" t="s">
        <v>76</v>
      </c>
      <c r="J1427" t="s">
        <v>2117</v>
      </c>
      <c r="K1427" t="s">
        <v>78</v>
      </c>
      <c r="L1427" t="s">
        <v>75</v>
      </c>
      <c r="M1427" t="s">
        <v>76</v>
      </c>
      <c r="N1427" t="s">
        <v>602</v>
      </c>
      <c r="O1427" t="s">
        <v>80</v>
      </c>
      <c r="P1427" t="str">
        <f>"ZA1001431161                  "</f>
        <v xml:space="preserve">ZA1001431161                  </v>
      </c>
      <c r="Q1427">
        <v>0</v>
      </c>
      <c r="R1427">
        <v>0</v>
      </c>
      <c r="S1427">
        <v>0</v>
      </c>
      <c r="T1427">
        <v>0</v>
      </c>
      <c r="U1427">
        <v>0</v>
      </c>
      <c r="V1427">
        <v>0</v>
      </c>
      <c r="W1427">
        <v>0</v>
      </c>
      <c r="X1427">
        <v>0</v>
      </c>
      <c r="Y1427">
        <v>0</v>
      </c>
      <c r="Z1427">
        <v>0</v>
      </c>
      <c r="AA1427">
        <v>0</v>
      </c>
      <c r="AB1427">
        <v>0</v>
      </c>
      <c r="AC1427">
        <v>0</v>
      </c>
      <c r="AD1427">
        <v>0</v>
      </c>
      <c r="AE1427">
        <v>0</v>
      </c>
      <c r="AF1427">
        <v>0</v>
      </c>
      <c r="AG1427">
        <v>0</v>
      </c>
      <c r="AH1427">
        <v>0</v>
      </c>
      <c r="AI1427">
        <v>0</v>
      </c>
      <c r="AJ1427">
        <v>0</v>
      </c>
      <c r="AK1427">
        <v>0</v>
      </c>
      <c r="AL1427">
        <v>0</v>
      </c>
      <c r="AM1427">
        <v>0</v>
      </c>
      <c r="AN1427">
        <v>0</v>
      </c>
      <c r="AO1427">
        <v>0</v>
      </c>
      <c r="AP1427">
        <v>0</v>
      </c>
      <c r="AQ1427">
        <v>38.090000000000003</v>
      </c>
      <c r="AR1427">
        <v>0</v>
      </c>
      <c r="AS1427">
        <v>0</v>
      </c>
      <c r="AT1427">
        <v>0</v>
      </c>
      <c r="AU1427">
        <v>0</v>
      </c>
      <c r="AV1427">
        <v>0</v>
      </c>
      <c r="AW1427">
        <v>0</v>
      </c>
      <c r="AX1427">
        <v>0</v>
      </c>
      <c r="AY1427">
        <v>0</v>
      </c>
      <c r="AZ1427">
        <v>0</v>
      </c>
      <c r="BA1427">
        <v>0</v>
      </c>
      <c r="BB1427">
        <v>0</v>
      </c>
      <c r="BC1427">
        <v>0</v>
      </c>
      <c r="BD1427">
        <v>0</v>
      </c>
      <c r="BE1427">
        <v>0</v>
      </c>
      <c r="BF1427">
        <v>0</v>
      </c>
      <c r="BG1427">
        <v>0</v>
      </c>
      <c r="BH1427">
        <v>1</v>
      </c>
      <c r="BI1427">
        <v>3</v>
      </c>
      <c r="BJ1427">
        <v>2.4</v>
      </c>
      <c r="BK1427">
        <v>3</v>
      </c>
      <c r="BL1427">
        <v>119.61</v>
      </c>
      <c r="BM1427">
        <v>17.940000000000001</v>
      </c>
      <c r="BN1427">
        <v>137.55000000000001</v>
      </c>
      <c r="BO1427">
        <v>137.55000000000001</v>
      </c>
      <c r="BQ1427" t="s">
        <v>603</v>
      </c>
      <c r="BR1427" t="s">
        <v>2118</v>
      </c>
      <c r="BS1427" s="3">
        <v>46002</v>
      </c>
      <c r="BT1427" s="4">
        <v>0.38263888888888886</v>
      </c>
      <c r="BU1427" t="s">
        <v>1983</v>
      </c>
      <c r="BV1427" t="s">
        <v>84</v>
      </c>
      <c r="BY1427">
        <v>12000</v>
      </c>
      <c r="BZ1427" t="s">
        <v>731</v>
      </c>
      <c r="CA1427" t="s">
        <v>606</v>
      </c>
      <c r="CC1427" t="s">
        <v>76</v>
      </c>
      <c r="CD1427">
        <v>1619</v>
      </c>
      <c r="CE1427" t="s">
        <v>607</v>
      </c>
      <c r="CF1427" s="3">
        <v>46003</v>
      </c>
      <c r="CI1427">
        <v>1</v>
      </c>
      <c r="CJ1427">
        <v>1</v>
      </c>
      <c r="CK1427">
        <v>42</v>
      </c>
      <c r="CL1427" t="s">
        <v>87</v>
      </c>
    </row>
    <row r="1428" spans="1:90" x14ac:dyDescent="0.3">
      <c r="A1428" t="s">
        <v>72</v>
      </c>
      <c r="B1428" t="s">
        <v>73</v>
      </c>
      <c r="C1428" t="s">
        <v>74</v>
      </c>
      <c r="E1428" t="str">
        <f>"080011704562"</f>
        <v>080011704562</v>
      </c>
      <c r="F1428" s="3">
        <v>46001</v>
      </c>
      <c r="G1428">
        <v>202609</v>
      </c>
      <c r="H1428" t="s">
        <v>1388</v>
      </c>
      <c r="I1428" t="s">
        <v>1389</v>
      </c>
      <c r="J1428" t="s">
        <v>2119</v>
      </c>
      <c r="K1428" t="s">
        <v>78</v>
      </c>
      <c r="L1428" t="s">
        <v>75</v>
      </c>
      <c r="M1428" t="s">
        <v>76</v>
      </c>
      <c r="N1428" t="s">
        <v>602</v>
      </c>
      <c r="O1428" t="s">
        <v>89</v>
      </c>
      <c r="P1428" t="str">
        <f>"ZA1001432998                  "</f>
        <v xml:space="preserve">ZA1001432998                  </v>
      </c>
      <c r="Q1428">
        <v>0</v>
      </c>
      <c r="R1428">
        <v>0</v>
      </c>
      <c r="S1428">
        <v>0</v>
      </c>
      <c r="T1428">
        <v>0</v>
      </c>
      <c r="U1428">
        <v>0</v>
      </c>
      <c r="V1428">
        <v>0</v>
      </c>
      <c r="W1428">
        <v>0</v>
      </c>
      <c r="X1428">
        <v>0</v>
      </c>
      <c r="Y1428">
        <v>0</v>
      </c>
      <c r="Z1428">
        <v>0</v>
      </c>
      <c r="AA1428">
        <v>0</v>
      </c>
      <c r="AB1428">
        <v>0</v>
      </c>
      <c r="AC1428">
        <v>0</v>
      </c>
      <c r="AD1428">
        <v>0</v>
      </c>
      <c r="AE1428">
        <v>0</v>
      </c>
      <c r="AF1428">
        <v>0</v>
      </c>
      <c r="AG1428">
        <v>0</v>
      </c>
      <c r="AH1428">
        <v>0</v>
      </c>
      <c r="AI1428">
        <v>0</v>
      </c>
      <c r="AJ1428">
        <v>0</v>
      </c>
      <c r="AK1428">
        <v>0</v>
      </c>
      <c r="AL1428">
        <v>0</v>
      </c>
      <c r="AM1428">
        <v>0</v>
      </c>
      <c r="AN1428">
        <v>0</v>
      </c>
      <c r="AO1428">
        <v>0</v>
      </c>
      <c r="AP1428">
        <v>0</v>
      </c>
      <c r="AQ1428">
        <v>19.940000000000001</v>
      </c>
      <c r="AR1428">
        <v>0</v>
      </c>
      <c r="AS1428">
        <v>0</v>
      </c>
      <c r="AT1428">
        <v>0</v>
      </c>
      <c r="AU1428">
        <v>0</v>
      </c>
      <c r="AV1428">
        <v>0</v>
      </c>
      <c r="AW1428">
        <v>0</v>
      </c>
      <c r="AX1428">
        <v>0</v>
      </c>
      <c r="AY1428">
        <v>0</v>
      </c>
      <c r="AZ1428">
        <v>0</v>
      </c>
      <c r="BA1428">
        <v>0</v>
      </c>
      <c r="BB1428">
        <v>0</v>
      </c>
      <c r="BC1428">
        <v>0</v>
      </c>
      <c r="BD1428">
        <v>0</v>
      </c>
      <c r="BE1428">
        <v>0</v>
      </c>
      <c r="BF1428">
        <v>0</v>
      </c>
      <c r="BG1428">
        <v>0</v>
      </c>
      <c r="BH1428">
        <v>1</v>
      </c>
      <c r="BI1428">
        <v>0.8</v>
      </c>
      <c r="BJ1428">
        <v>2.1</v>
      </c>
      <c r="BK1428">
        <v>3</v>
      </c>
      <c r="BL1428">
        <v>59.42</v>
      </c>
      <c r="BM1428">
        <v>8.91</v>
      </c>
      <c r="BN1428">
        <v>68.33</v>
      </c>
      <c r="BO1428">
        <v>68.33</v>
      </c>
      <c r="BQ1428" t="s">
        <v>603</v>
      </c>
      <c r="BR1428" t="s">
        <v>2120</v>
      </c>
      <c r="BS1428" s="3">
        <v>46002</v>
      </c>
      <c r="BT1428" s="4">
        <v>0.34166666666666667</v>
      </c>
      <c r="BU1428" t="s">
        <v>2121</v>
      </c>
      <c r="BV1428" t="s">
        <v>84</v>
      </c>
      <c r="BY1428">
        <v>10555.56</v>
      </c>
      <c r="BZ1428" t="s">
        <v>271</v>
      </c>
      <c r="CA1428" t="s">
        <v>606</v>
      </c>
      <c r="CC1428" t="s">
        <v>76</v>
      </c>
      <c r="CD1428">
        <v>1619</v>
      </c>
      <c r="CE1428" t="s">
        <v>607</v>
      </c>
      <c r="CF1428" s="3">
        <v>46003</v>
      </c>
      <c r="CI1428">
        <v>1</v>
      </c>
      <c r="CJ1428">
        <v>1</v>
      </c>
      <c r="CK1428">
        <v>22</v>
      </c>
      <c r="CL1428" t="s">
        <v>87</v>
      </c>
    </row>
    <row r="1429" spans="1:90" x14ac:dyDescent="0.3">
      <c r="A1429" t="s">
        <v>72</v>
      </c>
      <c r="B1429" t="s">
        <v>73</v>
      </c>
      <c r="C1429" t="s">
        <v>74</v>
      </c>
      <c r="E1429" t="str">
        <f>"080011704686"</f>
        <v>080011704686</v>
      </c>
      <c r="F1429" s="3">
        <v>46001</v>
      </c>
      <c r="G1429">
        <v>202609</v>
      </c>
      <c r="H1429" t="s">
        <v>465</v>
      </c>
      <c r="I1429" t="s">
        <v>466</v>
      </c>
      <c r="J1429" t="s">
        <v>1485</v>
      </c>
      <c r="K1429" t="s">
        <v>78</v>
      </c>
      <c r="L1429" t="s">
        <v>75</v>
      </c>
      <c r="M1429" t="s">
        <v>76</v>
      </c>
      <c r="N1429" t="s">
        <v>602</v>
      </c>
      <c r="O1429" t="s">
        <v>89</v>
      </c>
      <c r="P1429" t="str">
        <f>"ZA1001415005                  "</f>
        <v xml:space="preserve">ZA1001415005                  </v>
      </c>
      <c r="Q1429">
        <v>0</v>
      </c>
      <c r="R1429">
        <v>0</v>
      </c>
      <c r="S1429">
        <v>0</v>
      </c>
      <c r="T1429">
        <v>0</v>
      </c>
      <c r="U1429">
        <v>0</v>
      </c>
      <c r="V1429">
        <v>0</v>
      </c>
      <c r="W1429">
        <v>0</v>
      </c>
      <c r="X1429">
        <v>0</v>
      </c>
      <c r="Y1429">
        <v>0</v>
      </c>
      <c r="Z1429">
        <v>0</v>
      </c>
      <c r="AA1429">
        <v>0</v>
      </c>
      <c r="AB1429">
        <v>0</v>
      </c>
      <c r="AC1429">
        <v>0</v>
      </c>
      <c r="AD1429">
        <v>0</v>
      </c>
      <c r="AE1429">
        <v>0</v>
      </c>
      <c r="AF1429">
        <v>0</v>
      </c>
      <c r="AG1429">
        <v>0</v>
      </c>
      <c r="AH1429">
        <v>0</v>
      </c>
      <c r="AI1429">
        <v>0</v>
      </c>
      <c r="AJ1429">
        <v>0</v>
      </c>
      <c r="AK1429">
        <v>0</v>
      </c>
      <c r="AL1429">
        <v>0</v>
      </c>
      <c r="AM1429">
        <v>0</v>
      </c>
      <c r="AN1429">
        <v>0</v>
      </c>
      <c r="AO1429">
        <v>0</v>
      </c>
      <c r="AP1429">
        <v>0</v>
      </c>
      <c r="AQ1429">
        <v>19.940000000000001</v>
      </c>
      <c r="AR1429">
        <v>0</v>
      </c>
      <c r="AS1429">
        <v>0</v>
      </c>
      <c r="AT1429">
        <v>0</v>
      </c>
      <c r="AU1429">
        <v>0</v>
      </c>
      <c r="AV1429">
        <v>0</v>
      </c>
      <c r="AW1429">
        <v>0</v>
      </c>
      <c r="AX1429">
        <v>0</v>
      </c>
      <c r="AY1429">
        <v>0</v>
      </c>
      <c r="AZ1429">
        <v>0</v>
      </c>
      <c r="BA1429">
        <v>0</v>
      </c>
      <c r="BB1429">
        <v>0</v>
      </c>
      <c r="BC1429">
        <v>0</v>
      </c>
      <c r="BD1429">
        <v>0</v>
      </c>
      <c r="BE1429">
        <v>0</v>
      </c>
      <c r="BF1429">
        <v>0</v>
      </c>
      <c r="BG1429">
        <v>0</v>
      </c>
      <c r="BH1429">
        <v>1</v>
      </c>
      <c r="BI1429">
        <v>3</v>
      </c>
      <c r="BJ1429">
        <v>2.4</v>
      </c>
      <c r="BK1429">
        <v>3</v>
      </c>
      <c r="BL1429">
        <v>59.42</v>
      </c>
      <c r="BM1429">
        <v>8.91</v>
      </c>
      <c r="BN1429">
        <v>68.33</v>
      </c>
      <c r="BO1429">
        <v>68.33</v>
      </c>
      <c r="BQ1429" t="s">
        <v>603</v>
      </c>
      <c r="BR1429" t="s">
        <v>1486</v>
      </c>
      <c r="BS1429" s="3">
        <v>46002</v>
      </c>
      <c r="BT1429" s="4">
        <v>0.50416666666666665</v>
      </c>
      <c r="BU1429" t="s">
        <v>1983</v>
      </c>
      <c r="BV1429" t="s">
        <v>87</v>
      </c>
      <c r="BW1429" t="s">
        <v>174</v>
      </c>
      <c r="BX1429" t="s">
        <v>198</v>
      </c>
      <c r="BY1429">
        <v>12000</v>
      </c>
      <c r="BZ1429" t="s">
        <v>271</v>
      </c>
      <c r="CA1429" t="s">
        <v>606</v>
      </c>
      <c r="CC1429" t="s">
        <v>76</v>
      </c>
      <c r="CD1429">
        <v>1619</v>
      </c>
      <c r="CE1429" t="s">
        <v>607</v>
      </c>
      <c r="CF1429" s="3">
        <v>46003</v>
      </c>
      <c r="CI1429">
        <v>1</v>
      </c>
      <c r="CJ1429">
        <v>1</v>
      </c>
      <c r="CK1429">
        <v>22</v>
      </c>
      <c r="CL1429" t="s">
        <v>87</v>
      </c>
    </row>
    <row r="1430" spans="1:90" x14ac:dyDescent="0.3">
      <c r="A1430" t="s">
        <v>72</v>
      </c>
      <c r="B1430" t="s">
        <v>73</v>
      </c>
      <c r="C1430" t="s">
        <v>74</v>
      </c>
      <c r="E1430" t="str">
        <f>"080069823284"</f>
        <v>080069823284</v>
      </c>
      <c r="F1430" s="3">
        <v>46001</v>
      </c>
      <c r="G1430">
        <v>202609</v>
      </c>
      <c r="H1430" t="s">
        <v>75</v>
      </c>
      <c r="I1430" t="s">
        <v>76</v>
      </c>
      <c r="J1430" t="s">
        <v>77</v>
      </c>
      <c r="K1430" t="s">
        <v>78</v>
      </c>
      <c r="L1430" t="s">
        <v>75</v>
      </c>
      <c r="M1430" t="s">
        <v>76</v>
      </c>
      <c r="N1430" t="s">
        <v>1072</v>
      </c>
      <c r="O1430" t="s">
        <v>89</v>
      </c>
      <c r="P1430" t="str">
        <f>"4170072887                    "</f>
        <v xml:space="preserve">4170072887                    </v>
      </c>
      <c r="Q1430">
        <v>0</v>
      </c>
      <c r="R1430">
        <v>0</v>
      </c>
      <c r="S1430">
        <v>0</v>
      </c>
      <c r="T1430">
        <v>0</v>
      </c>
      <c r="U1430">
        <v>0</v>
      </c>
      <c r="V1430">
        <v>0</v>
      </c>
      <c r="W1430">
        <v>0</v>
      </c>
      <c r="X1430">
        <v>0</v>
      </c>
      <c r="Y1430">
        <v>0</v>
      </c>
      <c r="Z1430">
        <v>0</v>
      </c>
      <c r="AA1430">
        <v>0</v>
      </c>
      <c r="AB1430">
        <v>0</v>
      </c>
      <c r="AC1430">
        <v>0</v>
      </c>
      <c r="AD1430">
        <v>0</v>
      </c>
      <c r="AE1430">
        <v>0</v>
      </c>
      <c r="AF1430">
        <v>0</v>
      </c>
      <c r="AG1430">
        <v>0</v>
      </c>
      <c r="AH1430">
        <v>0</v>
      </c>
      <c r="AI1430">
        <v>0</v>
      </c>
      <c r="AJ1430">
        <v>0</v>
      </c>
      <c r="AK1430">
        <v>0</v>
      </c>
      <c r="AL1430">
        <v>0</v>
      </c>
      <c r="AM1430">
        <v>0</v>
      </c>
      <c r="AN1430">
        <v>0</v>
      </c>
      <c r="AO1430">
        <v>0</v>
      </c>
      <c r="AP1430">
        <v>0</v>
      </c>
      <c r="AQ1430">
        <v>19.940000000000001</v>
      </c>
      <c r="AR1430">
        <v>0</v>
      </c>
      <c r="AS1430">
        <v>0</v>
      </c>
      <c r="AT1430">
        <v>0</v>
      </c>
      <c r="AU1430">
        <v>0</v>
      </c>
      <c r="AV1430">
        <v>0</v>
      </c>
      <c r="AW1430">
        <v>0</v>
      </c>
      <c r="AX1430">
        <v>0</v>
      </c>
      <c r="AY1430">
        <v>0</v>
      </c>
      <c r="AZ1430">
        <v>0</v>
      </c>
      <c r="BA1430">
        <v>0</v>
      </c>
      <c r="BB1430">
        <v>0</v>
      </c>
      <c r="BC1430">
        <v>0</v>
      </c>
      <c r="BD1430">
        <v>0</v>
      </c>
      <c r="BE1430">
        <v>0</v>
      </c>
      <c r="BF1430">
        <v>0</v>
      </c>
      <c r="BG1430">
        <v>0</v>
      </c>
      <c r="BH1430">
        <v>1</v>
      </c>
      <c r="BI1430">
        <v>2</v>
      </c>
      <c r="BJ1430">
        <v>3.1</v>
      </c>
      <c r="BK1430">
        <v>4</v>
      </c>
      <c r="BL1430">
        <v>59.42</v>
      </c>
      <c r="BM1430">
        <v>8.91</v>
      </c>
      <c r="BN1430">
        <v>68.33</v>
      </c>
      <c r="BO1430">
        <v>68.33</v>
      </c>
      <c r="BQ1430" t="s">
        <v>1073</v>
      </c>
      <c r="BR1430" t="s">
        <v>82</v>
      </c>
      <c r="BS1430" s="3">
        <v>46002</v>
      </c>
      <c r="BT1430" s="4">
        <v>0.34722222222222221</v>
      </c>
      <c r="BU1430" t="s">
        <v>1074</v>
      </c>
      <c r="BV1430" t="s">
        <v>84</v>
      </c>
      <c r="BY1430">
        <v>15680</v>
      </c>
      <c r="CC1430" t="s">
        <v>76</v>
      </c>
      <c r="CD1430">
        <v>1614</v>
      </c>
      <c r="CE1430" t="s">
        <v>93</v>
      </c>
      <c r="CF1430" s="3">
        <v>46002</v>
      </c>
      <c r="CI1430">
        <v>1</v>
      </c>
      <c r="CJ1430">
        <v>1</v>
      </c>
      <c r="CK1430">
        <v>22</v>
      </c>
      <c r="CL1430" t="s">
        <v>87</v>
      </c>
    </row>
    <row r="1431" spans="1:90" x14ac:dyDescent="0.3">
      <c r="A1431" t="s">
        <v>72</v>
      </c>
      <c r="B1431" t="s">
        <v>73</v>
      </c>
      <c r="C1431" t="s">
        <v>74</v>
      </c>
      <c r="E1431" t="str">
        <f>"080069823308"</f>
        <v>080069823308</v>
      </c>
      <c r="F1431" s="3">
        <v>46001</v>
      </c>
      <c r="G1431">
        <v>202609</v>
      </c>
      <c r="H1431" t="s">
        <v>75</v>
      </c>
      <c r="I1431" t="s">
        <v>76</v>
      </c>
      <c r="J1431" t="s">
        <v>77</v>
      </c>
      <c r="K1431" t="s">
        <v>78</v>
      </c>
      <c r="L1431" t="s">
        <v>515</v>
      </c>
      <c r="M1431" t="s">
        <v>516</v>
      </c>
      <c r="N1431" t="s">
        <v>517</v>
      </c>
      <c r="O1431" t="s">
        <v>89</v>
      </c>
      <c r="P1431" t="str">
        <f>"4170072945                    "</f>
        <v xml:space="preserve">4170072945                    </v>
      </c>
      <c r="Q1431">
        <v>0</v>
      </c>
      <c r="R1431">
        <v>0</v>
      </c>
      <c r="S1431">
        <v>0</v>
      </c>
      <c r="T1431">
        <v>0</v>
      </c>
      <c r="U1431">
        <v>0</v>
      </c>
      <c r="V1431">
        <v>0</v>
      </c>
      <c r="W1431">
        <v>0</v>
      </c>
      <c r="X1431">
        <v>0</v>
      </c>
      <c r="Y1431">
        <v>0</v>
      </c>
      <c r="Z1431">
        <v>0</v>
      </c>
      <c r="AA1431">
        <v>0</v>
      </c>
      <c r="AB1431">
        <v>0</v>
      </c>
      <c r="AC1431">
        <v>0</v>
      </c>
      <c r="AD1431">
        <v>0</v>
      </c>
      <c r="AE1431">
        <v>0</v>
      </c>
      <c r="AF1431">
        <v>0</v>
      </c>
      <c r="AG1431">
        <v>0</v>
      </c>
      <c r="AH1431">
        <v>0</v>
      </c>
      <c r="AI1431">
        <v>0</v>
      </c>
      <c r="AJ1431">
        <v>0</v>
      </c>
      <c r="AK1431">
        <v>0</v>
      </c>
      <c r="AL1431">
        <v>0</v>
      </c>
      <c r="AM1431">
        <v>0</v>
      </c>
      <c r="AN1431">
        <v>0</v>
      </c>
      <c r="AO1431">
        <v>0</v>
      </c>
      <c r="AP1431">
        <v>0</v>
      </c>
      <c r="AQ1431">
        <v>49.45</v>
      </c>
      <c r="AR1431">
        <v>0</v>
      </c>
      <c r="AS1431">
        <v>0</v>
      </c>
      <c r="AT1431">
        <v>0</v>
      </c>
      <c r="AU1431">
        <v>0</v>
      </c>
      <c r="AV1431">
        <v>0</v>
      </c>
      <c r="AW1431">
        <v>0</v>
      </c>
      <c r="AX1431">
        <v>0</v>
      </c>
      <c r="AY1431">
        <v>0</v>
      </c>
      <c r="AZ1431">
        <v>0</v>
      </c>
      <c r="BA1431">
        <v>0</v>
      </c>
      <c r="BB1431">
        <v>0</v>
      </c>
      <c r="BC1431">
        <v>0</v>
      </c>
      <c r="BD1431">
        <v>0</v>
      </c>
      <c r="BE1431">
        <v>0</v>
      </c>
      <c r="BF1431">
        <v>0</v>
      </c>
      <c r="BG1431">
        <v>0</v>
      </c>
      <c r="BH1431">
        <v>1</v>
      </c>
      <c r="BI1431">
        <v>1</v>
      </c>
      <c r="BJ1431">
        <v>0.2</v>
      </c>
      <c r="BK1431">
        <v>1</v>
      </c>
      <c r="BL1431">
        <v>147.38</v>
      </c>
      <c r="BM1431">
        <v>22.11</v>
      </c>
      <c r="BN1431">
        <v>169.49</v>
      </c>
      <c r="BO1431">
        <v>169.49</v>
      </c>
      <c r="BQ1431" t="s">
        <v>518</v>
      </c>
      <c r="BR1431" t="s">
        <v>82</v>
      </c>
      <c r="BS1431" s="3">
        <v>46002</v>
      </c>
      <c r="BT1431" s="4">
        <v>0.66180555555555554</v>
      </c>
      <c r="BU1431" t="s">
        <v>2069</v>
      </c>
      <c r="BV1431" t="s">
        <v>84</v>
      </c>
      <c r="BY1431">
        <v>1200</v>
      </c>
      <c r="CA1431" t="s">
        <v>146</v>
      </c>
      <c r="CC1431" t="s">
        <v>516</v>
      </c>
      <c r="CD1431">
        <v>6300</v>
      </c>
      <c r="CE1431" t="s">
        <v>134</v>
      </c>
      <c r="CI1431">
        <v>2</v>
      </c>
      <c r="CJ1431">
        <v>1</v>
      </c>
      <c r="CK1431">
        <v>23</v>
      </c>
      <c r="CL1431" t="s">
        <v>87</v>
      </c>
    </row>
    <row r="1432" spans="1:90" x14ac:dyDescent="0.3">
      <c r="A1432" t="s">
        <v>72</v>
      </c>
      <c r="B1432" t="s">
        <v>73</v>
      </c>
      <c r="C1432" t="s">
        <v>74</v>
      </c>
      <c r="E1432" t="str">
        <f>"080069823333"</f>
        <v>080069823333</v>
      </c>
      <c r="F1432" s="3">
        <v>46001</v>
      </c>
      <c r="G1432">
        <v>202609</v>
      </c>
      <c r="H1432" t="s">
        <v>75</v>
      </c>
      <c r="I1432" t="s">
        <v>76</v>
      </c>
      <c r="J1432" t="s">
        <v>77</v>
      </c>
      <c r="K1432" t="s">
        <v>78</v>
      </c>
      <c r="L1432" t="s">
        <v>141</v>
      </c>
      <c r="M1432" t="s">
        <v>142</v>
      </c>
      <c r="N1432" t="s">
        <v>840</v>
      </c>
      <c r="O1432" t="s">
        <v>89</v>
      </c>
      <c r="P1432" t="str">
        <f>"4170072861                    "</f>
        <v xml:space="preserve">4170072861                    </v>
      </c>
      <c r="Q1432">
        <v>0</v>
      </c>
      <c r="R1432">
        <v>0</v>
      </c>
      <c r="S1432">
        <v>0</v>
      </c>
      <c r="T1432">
        <v>0</v>
      </c>
      <c r="U1432">
        <v>0</v>
      </c>
      <c r="V1432">
        <v>0</v>
      </c>
      <c r="W1432">
        <v>0</v>
      </c>
      <c r="X1432">
        <v>0</v>
      </c>
      <c r="Y1432">
        <v>0</v>
      </c>
      <c r="Z1432">
        <v>0</v>
      </c>
      <c r="AA1432">
        <v>0</v>
      </c>
      <c r="AB1432">
        <v>0</v>
      </c>
      <c r="AC1432">
        <v>0</v>
      </c>
      <c r="AD1432">
        <v>0</v>
      </c>
      <c r="AE1432">
        <v>0</v>
      </c>
      <c r="AF1432">
        <v>0</v>
      </c>
      <c r="AG1432">
        <v>0</v>
      </c>
      <c r="AH1432">
        <v>0</v>
      </c>
      <c r="AI1432">
        <v>0</v>
      </c>
      <c r="AJ1432">
        <v>0</v>
      </c>
      <c r="AK1432">
        <v>0</v>
      </c>
      <c r="AL1432">
        <v>0</v>
      </c>
      <c r="AM1432">
        <v>0</v>
      </c>
      <c r="AN1432">
        <v>0</v>
      </c>
      <c r="AO1432">
        <v>0</v>
      </c>
      <c r="AP1432">
        <v>0</v>
      </c>
      <c r="AQ1432">
        <v>25.52</v>
      </c>
      <c r="AR1432">
        <v>0</v>
      </c>
      <c r="AS1432">
        <v>0</v>
      </c>
      <c r="AT1432">
        <v>0</v>
      </c>
      <c r="AU1432">
        <v>0</v>
      </c>
      <c r="AV1432">
        <v>0</v>
      </c>
      <c r="AW1432">
        <v>0</v>
      </c>
      <c r="AX1432">
        <v>0</v>
      </c>
      <c r="AY1432">
        <v>0</v>
      </c>
      <c r="AZ1432">
        <v>0</v>
      </c>
      <c r="BA1432">
        <v>0</v>
      </c>
      <c r="BB1432">
        <v>0</v>
      </c>
      <c r="BC1432">
        <v>0</v>
      </c>
      <c r="BD1432">
        <v>0</v>
      </c>
      <c r="BE1432">
        <v>0</v>
      </c>
      <c r="BF1432">
        <v>0</v>
      </c>
      <c r="BG1432">
        <v>0</v>
      </c>
      <c r="BH1432">
        <v>1</v>
      </c>
      <c r="BI1432">
        <v>1</v>
      </c>
      <c r="BJ1432">
        <v>0.2</v>
      </c>
      <c r="BK1432">
        <v>1</v>
      </c>
      <c r="BL1432">
        <v>76.06</v>
      </c>
      <c r="BM1432">
        <v>11.41</v>
      </c>
      <c r="BN1432">
        <v>87.47</v>
      </c>
      <c r="BO1432">
        <v>87.47</v>
      </c>
      <c r="BQ1432" t="s">
        <v>841</v>
      </c>
      <c r="BR1432" t="s">
        <v>82</v>
      </c>
      <c r="BS1432" s="3">
        <v>46002</v>
      </c>
      <c r="BT1432" s="4">
        <v>0.43055555555555558</v>
      </c>
      <c r="BU1432" t="s">
        <v>2122</v>
      </c>
      <c r="BV1432" t="s">
        <v>84</v>
      </c>
      <c r="BY1432">
        <v>1200</v>
      </c>
      <c r="CA1432" t="s">
        <v>1228</v>
      </c>
      <c r="CC1432" t="s">
        <v>142</v>
      </c>
      <c r="CD1432">
        <v>6001</v>
      </c>
      <c r="CE1432" t="s">
        <v>134</v>
      </c>
      <c r="CF1432" s="3">
        <v>46002</v>
      </c>
      <c r="CI1432">
        <v>1</v>
      </c>
      <c r="CJ1432">
        <v>1</v>
      </c>
      <c r="CK1432">
        <v>21</v>
      </c>
      <c r="CL1432" t="s">
        <v>87</v>
      </c>
    </row>
    <row r="1433" spans="1:90" x14ac:dyDescent="0.3">
      <c r="A1433" t="s">
        <v>72</v>
      </c>
      <c r="B1433" t="s">
        <v>73</v>
      </c>
      <c r="C1433" t="s">
        <v>74</v>
      </c>
      <c r="E1433" t="str">
        <f>"080069823361"</f>
        <v>080069823361</v>
      </c>
      <c r="F1433" s="3">
        <v>46001</v>
      </c>
      <c r="G1433">
        <v>202609</v>
      </c>
      <c r="H1433" t="s">
        <v>75</v>
      </c>
      <c r="I1433" t="s">
        <v>76</v>
      </c>
      <c r="J1433" t="s">
        <v>77</v>
      </c>
      <c r="K1433" t="s">
        <v>78</v>
      </c>
      <c r="L1433" t="s">
        <v>302</v>
      </c>
      <c r="M1433" t="s">
        <v>303</v>
      </c>
      <c r="N1433" t="s">
        <v>2123</v>
      </c>
      <c r="O1433" t="s">
        <v>89</v>
      </c>
      <c r="P1433" t="str">
        <f>"4170072820                    "</f>
        <v xml:space="preserve">4170072820                    </v>
      </c>
      <c r="Q1433">
        <v>0</v>
      </c>
      <c r="R1433">
        <v>0</v>
      </c>
      <c r="S1433">
        <v>0</v>
      </c>
      <c r="T1433">
        <v>0</v>
      </c>
      <c r="U1433">
        <v>0</v>
      </c>
      <c r="V1433">
        <v>0</v>
      </c>
      <c r="W1433">
        <v>0</v>
      </c>
      <c r="X1433">
        <v>0</v>
      </c>
      <c r="Y1433">
        <v>0</v>
      </c>
      <c r="Z1433">
        <v>0</v>
      </c>
      <c r="AA1433">
        <v>0</v>
      </c>
      <c r="AB1433">
        <v>0</v>
      </c>
      <c r="AC1433">
        <v>0</v>
      </c>
      <c r="AD1433">
        <v>0</v>
      </c>
      <c r="AE1433">
        <v>0</v>
      </c>
      <c r="AF1433">
        <v>0</v>
      </c>
      <c r="AG1433">
        <v>0</v>
      </c>
      <c r="AH1433">
        <v>0</v>
      </c>
      <c r="AI1433">
        <v>0</v>
      </c>
      <c r="AJ1433">
        <v>0</v>
      </c>
      <c r="AK1433">
        <v>0</v>
      </c>
      <c r="AL1433">
        <v>0</v>
      </c>
      <c r="AM1433">
        <v>0</v>
      </c>
      <c r="AN1433">
        <v>0</v>
      </c>
      <c r="AO1433">
        <v>0</v>
      </c>
      <c r="AP1433">
        <v>0</v>
      </c>
      <c r="AQ1433">
        <v>25.52</v>
      </c>
      <c r="AR1433">
        <v>0</v>
      </c>
      <c r="AS1433">
        <v>0</v>
      </c>
      <c r="AT1433">
        <v>0</v>
      </c>
      <c r="AU1433">
        <v>0</v>
      </c>
      <c r="AV1433">
        <v>0</v>
      </c>
      <c r="AW1433">
        <v>0</v>
      </c>
      <c r="AX1433">
        <v>0</v>
      </c>
      <c r="AY1433">
        <v>0</v>
      </c>
      <c r="AZ1433">
        <v>0</v>
      </c>
      <c r="BA1433">
        <v>0</v>
      </c>
      <c r="BB1433">
        <v>0</v>
      </c>
      <c r="BC1433">
        <v>0</v>
      </c>
      <c r="BD1433">
        <v>0</v>
      </c>
      <c r="BE1433">
        <v>0</v>
      </c>
      <c r="BF1433">
        <v>0</v>
      </c>
      <c r="BG1433">
        <v>0</v>
      </c>
      <c r="BH1433">
        <v>1</v>
      </c>
      <c r="BI1433">
        <v>1</v>
      </c>
      <c r="BJ1433">
        <v>0.2</v>
      </c>
      <c r="BK1433">
        <v>1</v>
      </c>
      <c r="BL1433">
        <v>76.06</v>
      </c>
      <c r="BM1433">
        <v>11.41</v>
      </c>
      <c r="BN1433">
        <v>87.47</v>
      </c>
      <c r="BO1433">
        <v>87.47</v>
      </c>
      <c r="BQ1433" t="s">
        <v>2124</v>
      </c>
      <c r="BR1433" t="s">
        <v>82</v>
      </c>
      <c r="BS1433" s="3">
        <v>46002</v>
      </c>
      <c r="BT1433" s="4">
        <v>0.38750000000000001</v>
      </c>
      <c r="BU1433" t="s">
        <v>2125</v>
      </c>
      <c r="BV1433" t="s">
        <v>84</v>
      </c>
      <c r="BY1433">
        <v>1200</v>
      </c>
      <c r="CA1433">
        <v>9406055553085</v>
      </c>
      <c r="CC1433" t="s">
        <v>303</v>
      </c>
      <c r="CD1433" s="5" t="s">
        <v>836</v>
      </c>
      <c r="CE1433" t="s">
        <v>134</v>
      </c>
      <c r="CF1433" s="3">
        <v>46002</v>
      </c>
      <c r="CI1433">
        <v>1</v>
      </c>
      <c r="CJ1433">
        <v>1</v>
      </c>
      <c r="CK1433">
        <v>21</v>
      </c>
      <c r="CL1433" t="s">
        <v>87</v>
      </c>
    </row>
    <row r="1434" spans="1:90" x14ac:dyDescent="0.3">
      <c r="A1434" t="s">
        <v>72</v>
      </c>
      <c r="B1434" t="s">
        <v>73</v>
      </c>
      <c r="C1434" t="s">
        <v>74</v>
      </c>
      <c r="E1434" t="str">
        <f>"080069823381"</f>
        <v>080069823381</v>
      </c>
      <c r="F1434" s="3">
        <v>46001</v>
      </c>
      <c r="G1434">
        <v>202609</v>
      </c>
      <c r="H1434" t="s">
        <v>75</v>
      </c>
      <c r="I1434" t="s">
        <v>76</v>
      </c>
      <c r="J1434" t="s">
        <v>77</v>
      </c>
      <c r="K1434" t="s">
        <v>78</v>
      </c>
      <c r="L1434" t="s">
        <v>189</v>
      </c>
      <c r="M1434" t="s">
        <v>190</v>
      </c>
      <c r="N1434" t="s">
        <v>2126</v>
      </c>
      <c r="O1434" t="s">
        <v>89</v>
      </c>
      <c r="P1434" t="str">
        <f>"4170072881                    "</f>
        <v xml:space="preserve">4170072881                    </v>
      </c>
      <c r="Q1434">
        <v>0</v>
      </c>
      <c r="R1434">
        <v>0</v>
      </c>
      <c r="S1434">
        <v>0</v>
      </c>
      <c r="T1434">
        <v>0</v>
      </c>
      <c r="U1434">
        <v>0</v>
      </c>
      <c r="V1434">
        <v>0</v>
      </c>
      <c r="W1434">
        <v>0</v>
      </c>
      <c r="X1434">
        <v>0</v>
      </c>
      <c r="Y1434">
        <v>0</v>
      </c>
      <c r="Z1434">
        <v>0</v>
      </c>
      <c r="AA1434">
        <v>0</v>
      </c>
      <c r="AB1434">
        <v>0</v>
      </c>
      <c r="AC1434">
        <v>0</v>
      </c>
      <c r="AD1434">
        <v>0</v>
      </c>
      <c r="AE1434">
        <v>0</v>
      </c>
      <c r="AF1434">
        <v>0</v>
      </c>
      <c r="AG1434">
        <v>0</v>
      </c>
      <c r="AH1434">
        <v>0</v>
      </c>
      <c r="AI1434">
        <v>0</v>
      </c>
      <c r="AJ1434">
        <v>0</v>
      </c>
      <c r="AK1434">
        <v>0</v>
      </c>
      <c r="AL1434">
        <v>0</v>
      </c>
      <c r="AM1434">
        <v>0</v>
      </c>
      <c r="AN1434">
        <v>0</v>
      </c>
      <c r="AO1434">
        <v>0</v>
      </c>
      <c r="AP1434">
        <v>0</v>
      </c>
      <c r="AQ1434">
        <v>25.52</v>
      </c>
      <c r="AR1434">
        <v>0</v>
      </c>
      <c r="AS1434">
        <v>0</v>
      </c>
      <c r="AT1434">
        <v>0</v>
      </c>
      <c r="AU1434">
        <v>0</v>
      </c>
      <c r="AV1434">
        <v>0</v>
      </c>
      <c r="AW1434">
        <v>0</v>
      </c>
      <c r="AX1434">
        <v>0</v>
      </c>
      <c r="AY1434">
        <v>0</v>
      </c>
      <c r="AZ1434">
        <v>0</v>
      </c>
      <c r="BA1434">
        <v>0</v>
      </c>
      <c r="BB1434">
        <v>0</v>
      </c>
      <c r="BC1434">
        <v>0</v>
      </c>
      <c r="BD1434">
        <v>0</v>
      </c>
      <c r="BE1434">
        <v>0</v>
      </c>
      <c r="BF1434">
        <v>0</v>
      </c>
      <c r="BG1434">
        <v>0</v>
      </c>
      <c r="BH1434">
        <v>1</v>
      </c>
      <c r="BI1434">
        <v>1</v>
      </c>
      <c r="BJ1434">
        <v>0.2</v>
      </c>
      <c r="BK1434">
        <v>1</v>
      </c>
      <c r="BL1434">
        <v>76.06</v>
      </c>
      <c r="BM1434">
        <v>11.41</v>
      </c>
      <c r="BN1434">
        <v>87.47</v>
      </c>
      <c r="BO1434">
        <v>87.47</v>
      </c>
      <c r="BQ1434" t="s">
        <v>2127</v>
      </c>
      <c r="BR1434" t="s">
        <v>82</v>
      </c>
      <c r="BS1434" s="3">
        <v>46002</v>
      </c>
      <c r="BT1434" s="4">
        <v>0.47222222222222221</v>
      </c>
      <c r="BU1434" t="s">
        <v>393</v>
      </c>
      <c r="BV1434" t="s">
        <v>87</v>
      </c>
      <c r="BY1434">
        <v>1200</v>
      </c>
      <c r="CA1434" t="s">
        <v>1908</v>
      </c>
      <c r="CC1434" t="s">
        <v>190</v>
      </c>
      <c r="CD1434">
        <v>3201</v>
      </c>
      <c r="CE1434" t="s">
        <v>134</v>
      </c>
      <c r="CI1434">
        <v>5</v>
      </c>
      <c r="CJ1434">
        <v>1</v>
      </c>
      <c r="CK1434">
        <v>21</v>
      </c>
      <c r="CL1434" t="s">
        <v>87</v>
      </c>
    </row>
    <row r="1435" spans="1:90" x14ac:dyDescent="0.3">
      <c r="A1435" t="s">
        <v>72</v>
      </c>
      <c r="B1435" t="s">
        <v>73</v>
      </c>
      <c r="C1435" t="s">
        <v>74</v>
      </c>
      <c r="E1435" t="str">
        <f>"080069823460"</f>
        <v>080069823460</v>
      </c>
      <c r="F1435" s="3">
        <v>46001</v>
      </c>
      <c r="G1435">
        <v>202609</v>
      </c>
      <c r="H1435" t="s">
        <v>75</v>
      </c>
      <c r="I1435" t="s">
        <v>76</v>
      </c>
      <c r="J1435" t="s">
        <v>77</v>
      </c>
      <c r="K1435" t="s">
        <v>78</v>
      </c>
      <c r="L1435" t="s">
        <v>189</v>
      </c>
      <c r="M1435" t="s">
        <v>190</v>
      </c>
      <c r="N1435" t="s">
        <v>2128</v>
      </c>
      <c r="O1435" t="s">
        <v>89</v>
      </c>
      <c r="P1435" t="str">
        <f>"4170072878                    "</f>
        <v xml:space="preserve">4170072878                    </v>
      </c>
      <c r="Q1435">
        <v>0</v>
      </c>
      <c r="R1435">
        <v>0</v>
      </c>
      <c r="S1435">
        <v>0</v>
      </c>
      <c r="T1435">
        <v>0</v>
      </c>
      <c r="U1435">
        <v>0</v>
      </c>
      <c r="V1435">
        <v>0</v>
      </c>
      <c r="W1435">
        <v>0</v>
      </c>
      <c r="X1435">
        <v>0</v>
      </c>
      <c r="Y1435">
        <v>0</v>
      </c>
      <c r="Z1435">
        <v>0</v>
      </c>
      <c r="AA1435">
        <v>0</v>
      </c>
      <c r="AB1435">
        <v>0</v>
      </c>
      <c r="AC1435">
        <v>0</v>
      </c>
      <c r="AD1435">
        <v>0</v>
      </c>
      <c r="AE1435">
        <v>0</v>
      </c>
      <c r="AF1435">
        <v>0</v>
      </c>
      <c r="AG1435">
        <v>0</v>
      </c>
      <c r="AH1435">
        <v>0</v>
      </c>
      <c r="AI1435">
        <v>0</v>
      </c>
      <c r="AJ1435">
        <v>0</v>
      </c>
      <c r="AK1435">
        <v>0</v>
      </c>
      <c r="AL1435">
        <v>0</v>
      </c>
      <c r="AM1435">
        <v>0</v>
      </c>
      <c r="AN1435">
        <v>0</v>
      </c>
      <c r="AO1435">
        <v>0</v>
      </c>
      <c r="AP1435">
        <v>0</v>
      </c>
      <c r="AQ1435">
        <v>25.52</v>
      </c>
      <c r="AR1435">
        <v>0</v>
      </c>
      <c r="AS1435">
        <v>0</v>
      </c>
      <c r="AT1435">
        <v>0</v>
      </c>
      <c r="AU1435">
        <v>0</v>
      </c>
      <c r="AV1435">
        <v>0</v>
      </c>
      <c r="AW1435">
        <v>0</v>
      </c>
      <c r="AX1435">
        <v>0</v>
      </c>
      <c r="AY1435">
        <v>0</v>
      </c>
      <c r="AZ1435">
        <v>0</v>
      </c>
      <c r="BA1435">
        <v>0</v>
      </c>
      <c r="BB1435">
        <v>0</v>
      </c>
      <c r="BC1435">
        <v>0</v>
      </c>
      <c r="BD1435">
        <v>0</v>
      </c>
      <c r="BE1435">
        <v>0</v>
      </c>
      <c r="BF1435">
        <v>0</v>
      </c>
      <c r="BG1435">
        <v>0</v>
      </c>
      <c r="BH1435">
        <v>1</v>
      </c>
      <c r="BI1435">
        <v>1</v>
      </c>
      <c r="BJ1435">
        <v>1.4</v>
      </c>
      <c r="BK1435">
        <v>1.5</v>
      </c>
      <c r="BL1435">
        <v>76.06</v>
      </c>
      <c r="BM1435">
        <v>11.41</v>
      </c>
      <c r="BN1435">
        <v>87.47</v>
      </c>
      <c r="BO1435">
        <v>87.47</v>
      </c>
      <c r="BQ1435" t="s">
        <v>2129</v>
      </c>
      <c r="BR1435" t="s">
        <v>82</v>
      </c>
      <c r="BS1435" s="3">
        <v>46002</v>
      </c>
      <c r="BT1435" s="4">
        <v>0.47569444444444442</v>
      </c>
      <c r="BU1435" t="s">
        <v>2130</v>
      </c>
      <c r="BV1435" t="s">
        <v>84</v>
      </c>
      <c r="BY1435">
        <v>6760</v>
      </c>
      <c r="CA1435" t="s">
        <v>1908</v>
      </c>
      <c r="CC1435" t="s">
        <v>190</v>
      </c>
      <c r="CD1435">
        <v>3200</v>
      </c>
      <c r="CE1435" t="s">
        <v>229</v>
      </c>
      <c r="CI1435">
        <v>1</v>
      </c>
      <c r="CJ1435">
        <v>1</v>
      </c>
      <c r="CK1435">
        <v>21</v>
      </c>
      <c r="CL1435" t="s">
        <v>87</v>
      </c>
    </row>
    <row r="1436" spans="1:90" x14ac:dyDescent="0.3">
      <c r="A1436" t="s">
        <v>72</v>
      </c>
      <c r="B1436" t="s">
        <v>73</v>
      </c>
      <c r="C1436" t="s">
        <v>74</v>
      </c>
      <c r="E1436" t="str">
        <f>"080069823484"</f>
        <v>080069823484</v>
      </c>
      <c r="F1436" s="3">
        <v>46001</v>
      </c>
      <c r="G1436">
        <v>202609</v>
      </c>
      <c r="H1436" t="s">
        <v>75</v>
      </c>
      <c r="I1436" t="s">
        <v>76</v>
      </c>
      <c r="J1436" t="s">
        <v>77</v>
      </c>
      <c r="K1436" t="s">
        <v>78</v>
      </c>
      <c r="L1436" t="s">
        <v>302</v>
      </c>
      <c r="M1436" t="s">
        <v>303</v>
      </c>
      <c r="N1436" t="s">
        <v>425</v>
      </c>
      <c r="O1436" t="s">
        <v>80</v>
      </c>
      <c r="P1436" t="str">
        <f>"4170072916                    "</f>
        <v xml:space="preserve">4170072916                    </v>
      </c>
      <c r="Q1436">
        <v>0</v>
      </c>
      <c r="R1436">
        <v>0</v>
      </c>
      <c r="S1436">
        <v>0</v>
      </c>
      <c r="T1436">
        <v>0</v>
      </c>
      <c r="U1436">
        <v>0</v>
      </c>
      <c r="V1436">
        <v>0</v>
      </c>
      <c r="W1436">
        <v>0</v>
      </c>
      <c r="X1436">
        <v>0</v>
      </c>
      <c r="Y1436">
        <v>0</v>
      </c>
      <c r="Z1436">
        <v>0</v>
      </c>
      <c r="AA1436">
        <v>0</v>
      </c>
      <c r="AB1436">
        <v>0</v>
      </c>
      <c r="AC1436">
        <v>0</v>
      </c>
      <c r="AD1436">
        <v>0</v>
      </c>
      <c r="AE1436">
        <v>0</v>
      </c>
      <c r="AF1436">
        <v>0</v>
      </c>
      <c r="AG1436">
        <v>0</v>
      </c>
      <c r="AH1436">
        <v>0</v>
      </c>
      <c r="AI1436">
        <v>0</v>
      </c>
      <c r="AJ1436">
        <v>0</v>
      </c>
      <c r="AK1436">
        <v>0</v>
      </c>
      <c r="AL1436">
        <v>0</v>
      </c>
      <c r="AM1436">
        <v>0</v>
      </c>
      <c r="AN1436">
        <v>0</v>
      </c>
      <c r="AO1436">
        <v>0</v>
      </c>
      <c r="AP1436">
        <v>0</v>
      </c>
      <c r="AQ1436">
        <v>49.36</v>
      </c>
      <c r="AR1436">
        <v>0</v>
      </c>
      <c r="AS1436">
        <v>0</v>
      </c>
      <c r="AT1436">
        <v>0</v>
      </c>
      <c r="AU1436">
        <v>0</v>
      </c>
      <c r="AV1436">
        <v>0</v>
      </c>
      <c r="AW1436">
        <v>0</v>
      </c>
      <c r="AX1436">
        <v>0</v>
      </c>
      <c r="AY1436">
        <v>0</v>
      </c>
      <c r="AZ1436">
        <v>0</v>
      </c>
      <c r="BA1436">
        <v>0</v>
      </c>
      <c r="BB1436">
        <v>0</v>
      </c>
      <c r="BC1436">
        <v>0</v>
      </c>
      <c r="BD1436">
        <v>0</v>
      </c>
      <c r="BE1436">
        <v>0</v>
      </c>
      <c r="BF1436">
        <v>0</v>
      </c>
      <c r="BG1436">
        <v>0</v>
      </c>
      <c r="BH1436">
        <v>1</v>
      </c>
      <c r="BI1436">
        <v>11</v>
      </c>
      <c r="BJ1436">
        <v>1.9</v>
      </c>
      <c r="BK1436">
        <v>11</v>
      </c>
      <c r="BL1436">
        <v>153.19999999999999</v>
      </c>
      <c r="BM1436">
        <v>22.98</v>
      </c>
      <c r="BN1436">
        <v>176.18</v>
      </c>
      <c r="BO1436">
        <v>176.18</v>
      </c>
      <c r="BQ1436" t="s">
        <v>426</v>
      </c>
      <c r="BR1436" t="s">
        <v>82</v>
      </c>
      <c r="BS1436" s="3">
        <v>46002</v>
      </c>
      <c r="BT1436" s="4">
        <v>0.3659722222222222</v>
      </c>
      <c r="BU1436" t="s">
        <v>524</v>
      </c>
      <c r="BV1436" t="s">
        <v>84</v>
      </c>
      <c r="BY1436">
        <v>9576</v>
      </c>
      <c r="CA1436">
        <v>7712195338085</v>
      </c>
      <c r="CC1436" t="s">
        <v>303</v>
      </c>
      <c r="CD1436" s="5" t="s">
        <v>350</v>
      </c>
      <c r="CE1436" t="s">
        <v>86</v>
      </c>
      <c r="CF1436" s="3">
        <v>46002</v>
      </c>
      <c r="CI1436">
        <v>1</v>
      </c>
      <c r="CJ1436">
        <v>1</v>
      </c>
      <c r="CK1436">
        <v>41</v>
      </c>
      <c r="CL1436" t="s">
        <v>87</v>
      </c>
    </row>
    <row r="1437" spans="1:90" x14ac:dyDescent="0.3">
      <c r="A1437" t="s">
        <v>72</v>
      </c>
      <c r="B1437" t="s">
        <v>73</v>
      </c>
      <c r="C1437" t="s">
        <v>74</v>
      </c>
      <c r="E1437" t="str">
        <f>"080069823505"</f>
        <v>080069823505</v>
      </c>
      <c r="F1437" s="3">
        <v>46001</v>
      </c>
      <c r="G1437">
        <v>202609</v>
      </c>
      <c r="H1437" t="s">
        <v>75</v>
      </c>
      <c r="I1437" t="s">
        <v>76</v>
      </c>
      <c r="J1437" t="s">
        <v>77</v>
      </c>
      <c r="K1437" t="s">
        <v>78</v>
      </c>
      <c r="L1437" t="s">
        <v>94</v>
      </c>
      <c r="M1437" t="s">
        <v>95</v>
      </c>
      <c r="N1437" t="s">
        <v>1188</v>
      </c>
      <c r="O1437" t="s">
        <v>89</v>
      </c>
      <c r="P1437" t="str">
        <f>"4170072880                    "</f>
        <v xml:space="preserve">4170072880                    </v>
      </c>
      <c r="Q1437">
        <v>0</v>
      </c>
      <c r="R1437">
        <v>0</v>
      </c>
      <c r="S1437">
        <v>0</v>
      </c>
      <c r="T1437">
        <v>0</v>
      </c>
      <c r="U1437">
        <v>0</v>
      </c>
      <c r="V1437">
        <v>0</v>
      </c>
      <c r="W1437">
        <v>0</v>
      </c>
      <c r="X1437">
        <v>0</v>
      </c>
      <c r="Y1437">
        <v>0</v>
      </c>
      <c r="Z1437">
        <v>0</v>
      </c>
      <c r="AA1437">
        <v>0</v>
      </c>
      <c r="AB1437">
        <v>0</v>
      </c>
      <c r="AC1437">
        <v>0</v>
      </c>
      <c r="AD1437">
        <v>0</v>
      </c>
      <c r="AE1437">
        <v>0</v>
      </c>
      <c r="AF1437">
        <v>0</v>
      </c>
      <c r="AG1437">
        <v>0</v>
      </c>
      <c r="AH1437">
        <v>0</v>
      </c>
      <c r="AI1437">
        <v>0</v>
      </c>
      <c r="AJ1437">
        <v>0</v>
      </c>
      <c r="AK1437">
        <v>0</v>
      </c>
      <c r="AL1437">
        <v>0</v>
      </c>
      <c r="AM1437">
        <v>0</v>
      </c>
      <c r="AN1437">
        <v>0</v>
      </c>
      <c r="AO1437">
        <v>0</v>
      </c>
      <c r="AP1437">
        <v>0</v>
      </c>
      <c r="AQ1437">
        <v>63.79</v>
      </c>
      <c r="AR1437">
        <v>0</v>
      </c>
      <c r="AS1437">
        <v>0</v>
      </c>
      <c r="AT1437">
        <v>0</v>
      </c>
      <c r="AU1437">
        <v>0</v>
      </c>
      <c r="AV1437">
        <v>0</v>
      </c>
      <c r="AW1437">
        <v>0</v>
      </c>
      <c r="AX1437">
        <v>0</v>
      </c>
      <c r="AY1437">
        <v>0</v>
      </c>
      <c r="AZ1437">
        <v>0</v>
      </c>
      <c r="BA1437">
        <v>0</v>
      </c>
      <c r="BB1437">
        <v>0</v>
      </c>
      <c r="BC1437">
        <v>0</v>
      </c>
      <c r="BD1437">
        <v>0</v>
      </c>
      <c r="BE1437">
        <v>0</v>
      </c>
      <c r="BF1437">
        <v>0</v>
      </c>
      <c r="BG1437">
        <v>0</v>
      </c>
      <c r="BH1437">
        <v>1</v>
      </c>
      <c r="BI1437">
        <v>2</v>
      </c>
      <c r="BJ1437">
        <v>4.8</v>
      </c>
      <c r="BK1437">
        <v>5</v>
      </c>
      <c r="BL1437">
        <v>190.11</v>
      </c>
      <c r="BM1437">
        <v>28.52</v>
      </c>
      <c r="BN1437">
        <v>218.63</v>
      </c>
      <c r="BO1437">
        <v>218.63</v>
      </c>
      <c r="BQ1437" t="s">
        <v>1189</v>
      </c>
      <c r="BR1437" t="s">
        <v>82</v>
      </c>
      <c r="BS1437" s="3">
        <v>46002</v>
      </c>
      <c r="BT1437" s="4">
        <v>0.38472222222222224</v>
      </c>
      <c r="BU1437" t="s">
        <v>1698</v>
      </c>
      <c r="BV1437" t="s">
        <v>84</v>
      </c>
      <c r="BY1437">
        <v>24180</v>
      </c>
      <c r="CA1437" t="s">
        <v>929</v>
      </c>
      <c r="CC1437" t="s">
        <v>95</v>
      </c>
      <c r="CD1437">
        <v>3610</v>
      </c>
      <c r="CE1437" t="s">
        <v>93</v>
      </c>
      <c r="CF1437" s="3">
        <v>46002</v>
      </c>
      <c r="CI1437">
        <v>1</v>
      </c>
      <c r="CJ1437">
        <v>1</v>
      </c>
      <c r="CK1437">
        <v>21</v>
      </c>
      <c r="CL1437" t="s">
        <v>87</v>
      </c>
    </row>
    <row r="1438" spans="1:90" x14ac:dyDescent="0.3">
      <c r="A1438" t="s">
        <v>72</v>
      </c>
      <c r="B1438" t="s">
        <v>73</v>
      </c>
      <c r="C1438" t="s">
        <v>74</v>
      </c>
      <c r="E1438" t="str">
        <f>"080069823534"</f>
        <v>080069823534</v>
      </c>
      <c r="F1438" s="3">
        <v>46001</v>
      </c>
      <c r="G1438">
        <v>202609</v>
      </c>
      <c r="H1438" t="s">
        <v>75</v>
      </c>
      <c r="I1438" t="s">
        <v>76</v>
      </c>
      <c r="J1438" t="s">
        <v>77</v>
      </c>
      <c r="K1438" t="s">
        <v>78</v>
      </c>
      <c r="L1438" t="s">
        <v>156</v>
      </c>
      <c r="M1438" t="s">
        <v>157</v>
      </c>
      <c r="N1438" t="s">
        <v>446</v>
      </c>
      <c r="O1438" t="s">
        <v>80</v>
      </c>
      <c r="P1438" t="str">
        <f>"4170072924                    "</f>
        <v xml:space="preserve">4170072924                    </v>
      </c>
      <c r="Q1438">
        <v>0</v>
      </c>
      <c r="R1438">
        <v>0</v>
      </c>
      <c r="S1438">
        <v>0</v>
      </c>
      <c r="T1438">
        <v>0</v>
      </c>
      <c r="U1438">
        <v>0</v>
      </c>
      <c r="V1438">
        <v>0</v>
      </c>
      <c r="W1438">
        <v>0</v>
      </c>
      <c r="X1438">
        <v>0</v>
      </c>
      <c r="Y1438">
        <v>0</v>
      </c>
      <c r="Z1438">
        <v>0</v>
      </c>
      <c r="AA1438">
        <v>0</v>
      </c>
      <c r="AB1438">
        <v>0</v>
      </c>
      <c r="AC1438">
        <v>0</v>
      </c>
      <c r="AD1438">
        <v>0</v>
      </c>
      <c r="AE1438">
        <v>0</v>
      </c>
      <c r="AF1438">
        <v>0</v>
      </c>
      <c r="AG1438">
        <v>0</v>
      </c>
      <c r="AH1438">
        <v>0</v>
      </c>
      <c r="AI1438">
        <v>0</v>
      </c>
      <c r="AJ1438">
        <v>0</v>
      </c>
      <c r="AK1438">
        <v>0</v>
      </c>
      <c r="AL1438">
        <v>0</v>
      </c>
      <c r="AM1438">
        <v>0</v>
      </c>
      <c r="AN1438">
        <v>0</v>
      </c>
      <c r="AO1438">
        <v>0</v>
      </c>
      <c r="AP1438">
        <v>0</v>
      </c>
      <c r="AQ1438">
        <v>57.52</v>
      </c>
      <c r="AR1438">
        <v>0</v>
      </c>
      <c r="AS1438">
        <v>0</v>
      </c>
      <c r="AT1438">
        <v>0</v>
      </c>
      <c r="AU1438">
        <v>0</v>
      </c>
      <c r="AV1438">
        <v>0</v>
      </c>
      <c r="AW1438">
        <v>0</v>
      </c>
      <c r="AX1438">
        <v>0</v>
      </c>
      <c r="AY1438">
        <v>0</v>
      </c>
      <c r="AZ1438">
        <v>0</v>
      </c>
      <c r="BA1438">
        <v>0</v>
      </c>
      <c r="BB1438">
        <v>0</v>
      </c>
      <c r="BC1438">
        <v>0</v>
      </c>
      <c r="BD1438">
        <v>0</v>
      </c>
      <c r="BE1438">
        <v>0</v>
      </c>
      <c r="BF1438">
        <v>0</v>
      </c>
      <c r="BG1438">
        <v>0</v>
      </c>
      <c r="BH1438">
        <v>1</v>
      </c>
      <c r="BI1438">
        <v>6</v>
      </c>
      <c r="BJ1438">
        <v>18.3</v>
      </c>
      <c r="BK1438">
        <v>19</v>
      </c>
      <c r="BL1438">
        <v>177.52</v>
      </c>
      <c r="BM1438">
        <v>26.63</v>
      </c>
      <c r="BN1438">
        <v>204.15</v>
      </c>
      <c r="BO1438">
        <v>204.15</v>
      </c>
      <c r="BQ1438" t="s">
        <v>447</v>
      </c>
      <c r="BR1438" t="s">
        <v>82</v>
      </c>
      <c r="BS1438" t="s">
        <v>500</v>
      </c>
      <c r="BY1438">
        <v>91640</v>
      </c>
      <c r="CC1438" t="s">
        <v>157</v>
      </c>
      <c r="CD1438">
        <v>7530</v>
      </c>
      <c r="CE1438" t="s">
        <v>86</v>
      </c>
      <c r="CI1438">
        <v>3</v>
      </c>
      <c r="CJ1438" t="s">
        <v>500</v>
      </c>
      <c r="CK1438">
        <v>41</v>
      </c>
      <c r="CL1438" t="s">
        <v>87</v>
      </c>
    </row>
    <row r="1439" spans="1:90" x14ac:dyDescent="0.3">
      <c r="A1439" t="s">
        <v>72</v>
      </c>
      <c r="B1439" t="s">
        <v>73</v>
      </c>
      <c r="C1439" t="s">
        <v>74</v>
      </c>
      <c r="E1439" t="str">
        <f>"080069823545"</f>
        <v>080069823545</v>
      </c>
      <c r="F1439" s="3">
        <v>46001</v>
      </c>
      <c r="G1439">
        <v>202609</v>
      </c>
      <c r="H1439" t="s">
        <v>75</v>
      </c>
      <c r="I1439" t="s">
        <v>76</v>
      </c>
      <c r="J1439" t="s">
        <v>77</v>
      </c>
      <c r="K1439" t="s">
        <v>78</v>
      </c>
      <c r="L1439" t="s">
        <v>2131</v>
      </c>
      <c r="M1439" t="s">
        <v>2132</v>
      </c>
      <c r="N1439" t="s">
        <v>2133</v>
      </c>
      <c r="O1439" t="s">
        <v>89</v>
      </c>
      <c r="P1439" t="str">
        <f>"4170072840                    "</f>
        <v xml:space="preserve">4170072840                    </v>
      </c>
      <c r="Q1439">
        <v>0</v>
      </c>
      <c r="R1439">
        <v>0</v>
      </c>
      <c r="S1439">
        <v>0</v>
      </c>
      <c r="T1439">
        <v>0</v>
      </c>
      <c r="U1439">
        <v>0</v>
      </c>
      <c r="V1439">
        <v>0</v>
      </c>
      <c r="W1439">
        <v>0</v>
      </c>
      <c r="X1439">
        <v>0</v>
      </c>
      <c r="Y1439">
        <v>0</v>
      </c>
      <c r="Z1439">
        <v>0</v>
      </c>
      <c r="AA1439">
        <v>0</v>
      </c>
      <c r="AB1439">
        <v>0</v>
      </c>
      <c r="AC1439">
        <v>0</v>
      </c>
      <c r="AD1439">
        <v>0</v>
      </c>
      <c r="AE1439">
        <v>0</v>
      </c>
      <c r="AF1439">
        <v>0</v>
      </c>
      <c r="AG1439">
        <v>0</v>
      </c>
      <c r="AH1439">
        <v>0</v>
      </c>
      <c r="AI1439">
        <v>0</v>
      </c>
      <c r="AJ1439">
        <v>0</v>
      </c>
      <c r="AK1439">
        <v>0</v>
      </c>
      <c r="AL1439">
        <v>0</v>
      </c>
      <c r="AM1439">
        <v>0</v>
      </c>
      <c r="AN1439">
        <v>0</v>
      </c>
      <c r="AO1439">
        <v>0</v>
      </c>
      <c r="AP1439">
        <v>0</v>
      </c>
      <c r="AQ1439">
        <v>295.10000000000002</v>
      </c>
      <c r="AR1439">
        <v>0</v>
      </c>
      <c r="AS1439">
        <v>0</v>
      </c>
      <c r="AT1439">
        <v>0</v>
      </c>
      <c r="AU1439">
        <v>0</v>
      </c>
      <c r="AV1439">
        <v>0</v>
      </c>
      <c r="AW1439">
        <v>0</v>
      </c>
      <c r="AX1439">
        <v>0</v>
      </c>
      <c r="AY1439">
        <v>0</v>
      </c>
      <c r="AZ1439">
        <v>0</v>
      </c>
      <c r="BA1439">
        <v>0</v>
      </c>
      <c r="BB1439">
        <v>0</v>
      </c>
      <c r="BC1439">
        <v>0</v>
      </c>
      <c r="BD1439">
        <v>0</v>
      </c>
      <c r="BE1439">
        <v>0</v>
      </c>
      <c r="BF1439">
        <v>0</v>
      </c>
      <c r="BG1439">
        <v>0</v>
      </c>
      <c r="BH1439">
        <v>1</v>
      </c>
      <c r="BI1439">
        <v>13</v>
      </c>
      <c r="BJ1439">
        <v>12.9</v>
      </c>
      <c r="BK1439">
        <v>13</v>
      </c>
      <c r="BL1439">
        <v>879.45</v>
      </c>
      <c r="BM1439">
        <v>131.91999999999999</v>
      </c>
      <c r="BN1439">
        <v>1011.37</v>
      </c>
      <c r="BO1439">
        <v>1011.37</v>
      </c>
      <c r="BQ1439" t="s">
        <v>2134</v>
      </c>
      <c r="BR1439" t="s">
        <v>82</v>
      </c>
      <c r="BS1439" s="3">
        <v>46002</v>
      </c>
      <c r="BT1439" s="4">
        <v>0.3972222222222222</v>
      </c>
      <c r="BU1439" t="s">
        <v>1433</v>
      </c>
      <c r="BV1439" t="s">
        <v>84</v>
      </c>
      <c r="BY1439">
        <v>64607</v>
      </c>
      <c r="CA1439" t="s">
        <v>2135</v>
      </c>
      <c r="CC1439" t="s">
        <v>2132</v>
      </c>
      <c r="CD1439">
        <v>4339</v>
      </c>
      <c r="CE1439" t="s">
        <v>229</v>
      </c>
      <c r="CF1439" s="3">
        <v>46003</v>
      </c>
      <c r="CI1439">
        <v>1</v>
      </c>
      <c r="CJ1439">
        <v>1</v>
      </c>
      <c r="CK1439">
        <v>23</v>
      </c>
      <c r="CL1439" t="s">
        <v>87</v>
      </c>
    </row>
    <row r="1440" spans="1:90" x14ac:dyDescent="0.3">
      <c r="A1440" t="s">
        <v>72</v>
      </c>
      <c r="B1440" t="s">
        <v>73</v>
      </c>
      <c r="C1440" t="s">
        <v>74</v>
      </c>
      <c r="E1440" t="str">
        <f>"080069823560"</f>
        <v>080069823560</v>
      </c>
      <c r="F1440" s="3">
        <v>46001</v>
      </c>
      <c r="G1440">
        <v>202609</v>
      </c>
      <c r="H1440" t="s">
        <v>75</v>
      </c>
      <c r="I1440" t="s">
        <v>76</v>
      </c>
      <c r="J1440" t="s">
        <v>77</v>
      </c>
      <c r="K1440" t="s">
        <v>78</v>
      </c>
      <c r="L1440" t="s">
        <v>458</v>
      </c>
      <c r="M1440" t="s">
        <v>459</v>
      </c>
      <c r="N1440" t="s">
        <v>460</v>
      </c>
      <c r="O1440" t="s">
        <v>89</v>
      </c>
      <c r="P1440" t="str">
        <f>"4170072796                    "</f>
        <v xml:space="preserve">4170072796                    </v>
      </c>
      <c r="Q1440">
        <v>0</v>
      </c>
      <c r="R1440">
        <v>0</v>
      </c>
      <c r="S1440">
        <v>0</v>
      </c>
      <c r="T1440">
        <v>0</v>
      </c>
      <c r="U1440">
        <v>0</v>
      </c>
      <c r="V1440">
        <v>0</v>
      </c>
      <c r="W1440">
        <v>0</v>
      </c>
      <c r="X1440">
        <v>0</v>
      </c>
      <c r="Y1440">
        <v>0</v>
      </c>
      <c r="Z1440">
        <v>0</v>
      </c>
      <c r="AA1440">
        <v>0</v>
      </c>
      <c r="AB1440">
        <v>0</v>
      </c>
      <c r="AC1440">
        <v>0</v>
      </c>
      <c r="AD1440">
        <v>0</v>
      </c>
      <c r="AE1440">
        <v>0</v>
      </c>
      <c r="AF1440">
        <v>0</v>
      </c>
      <c r="AG1440">
        <v>0</v>
      </c>
      <c r="AH1440">
        <v>0</v>
      </c>
      <c r="AI1440">
        <v>0</v>
      </c>
      <c r="AJ1440">
        <v>0</v>
      </c>
      <c r="AK1440">
        <v>0</v>
      </c>
      <c r="AL1440">
        <v>0</v>
      </c>
      <c r="AM1440">
        <v>0</v>
      </c>
      <c r="AN1440">
        <v>0</v>
      </c>
      <c r="AO1440">
        <v>0</v>
      </c>
      <c r="AP1440">
        <v>0</v>
      </c>
      <c r="AQ1440">
        <v>116.45</v>
      </c>
      <c r="AR1440">
        <v>0</v>
      </c>
      <c r="AS1440">
        <v>0</v>
      </c>
      <c r="AT1440">
        <v>0</v>
      </c>
      <c r="AU1440">
        <v>0</v>
      </c>
      <c r="AV1440">
        <v>0</v>
      </c>
      <c r="AW1440">
        <v>0</v>
      </c>
      <c r="AX1440">
        <v>0</v>
      </c>
      <c r="AY1440">
        <v>0</v>
      </c>
      <c r="AZ1440">
        <v>0</v>
      </c>
      <c r="BA1440">
        <v>0</v>
      </c>
      <c r="BB1440">
        <v>0</v>
      </c>
      <c r="BC1440">
        <v>0</v>
      </c>
      <c r="BD1440">
        <v>0</v>
      </c>
      <c r="BE1440">
        <v>0</v>
      </c>
      <c r="BF1440">
        <v>0</v>
      </c>
      <c r="BG1440">
        <v>0</v>
      </c>
      <c r="BH1440">
        <v>1</v>
      </c>
      <c r="BI1440">
        <v>5</v>
      </c>
      <c r="BJ1440">
        <v>1.9</v>
      </c>
      <c r="BK1440">
        <v>5</v>
      </c>
      <c r="BL1440">
        <v>347.04</v>
      </c>
      <c r="BM1440">
        <v>52.06</v>
      </c>
      <c r="BN1440">
        <v>399.1</v>
      </c>
      <c r="BO1440">
        <v>399.1</v>
      </c>
      <c r="BQ1440" t="s">
        <v>461</v>
      </c>
      <c r="BR1440" t="s">
        <v>82</v>
      </c>
      <c r="BS1440" t="s">
        <v>500</v>
      </c>
      <c r="BY1440">
        <v>9600</v>
      </c>
      <c r="CC1440" t="s">
        <v>459</v>
      </c>
      <c r="CD1440">
        <v>7130</v>
      </c>
      <c r="CE1440" t="s">
        <v>86</v>
      </c>
      <c r="CI1440">
        <v>1</v>
      </c>
      <c r="CJ1440" t="s">
        <v>500</v>
      </c>
      <c r="CK1440">
        <v>23</v>
      </c>
      <c r="CL1440" t="s">
        <v>87</v>
      </c>
    </row>
    <row r="1441" spans="1:90" x14ac:dyDescent="0.3">
      <c r="A1441" t="s">
        <v>72</v>
      </c>
      <c r="B1441" t="s">
        <v>73</v>
      </c>
      <c r="C1441" t="s">
        <v>74</v>
      </c>
      <c r="E1441" t="str">
        <f>"080069823583"</f>
        <v>080069823583</v>
      </c>
      <c r="F1441" s="3">
        <v>46001</v>
      </c>
      <c r="G1441">
        <v>202609</v>
      </c>
      <c r="H1441" t="s">
        <v>75</v>
      </c>
      <c r="I1441" t="s">
        <v>76</v>
      </c>
      <c r="J1441" t="s">
        <v>77</v>
      </c>
      <c r="K1441" t="s">
        <v>78</v>
      </c>
      <c r="L1441" t="s">
        <v>528</v>
      </c>
      <c r="M1441" t="s">
        <v>529</v>
      </c>
      <c r="N1441" t="s">
        <v>1131</v>
      </c>
      <c r="O1441" t="s">
        <v>80</v>
      </c>
      <c r="P1441" t="str">
        <f>"4170072882                    "</f>
        <v xml:space="preserve">4170072882                    </v>
      </c>
      <c r="Q1441">
        <v>0</v>
      </c>
      <c r="R1441">
        <v>0</v>
      </c>
      <c r="S1441">
        <v>0</v>
      </c>
      <c r="T1441">
        <v>0</v>
      </c>
      <c r="U1441">
        <v>0</v>
      </c>
      <c r="V1441">
        <v>0</v>
      </c>
      <c r="W1441">
        <v>0</v>
      </c>
      <c r="X1441">
        <v>0</v>
      </c>
      <c r="Y1441">
        <v>0</v>
      </c>
      <c r="Z1441">
        <v>0</v>
      </c>
      <c r="AA1441">
        <v>0</v>
      </c>
      <c r="AB1441">
        <v>0</v>
      </c>
      <c r="AC1441">
        <v>0</v>
      </c>
      <c r="AD1441">
        <v>0</v>
      </c>
      <c r="AE1441">
        <v>0</v>
      </c>
      <c r="AF1441">
        <v>0</v>
      </c>
      <c r="AG1441">
        <v>0</v>
      </c>
      <c r="AH1441">
        <v>0</v>
      </c>
      <c r="AI1441">
        <v>0</v>
      </c>
      <c r="AJ1441">
        <v>0</v>
      </c>
      <c r="AK1441">
        <v>0</v>
      </c>
      <c r="AL1441">
        <v>0</v>
      </c>
      <c r="AM1441">
        <v>0</v>
      </c>
      <c r="AN1441">
        <v>0</v>
      </c>
      <c r="AO1441">
        <v>0</v>
      </c>
      <c r="AP1441">
        <v>0</v>
      </c>
      <c r="AQ1441">
        <v>69.61</v>
      </c>
      <c r="AR1441">
        <v>0</v>
      </c>
      <c r="AS1441">
        <v>0</v>
      </c>
      <c r="AT1441">
        <v>0</v>
      </c>
      <c r="AU1441">
        <v>0</v>
      </c>
      <c r="AV1441">
        <v>0</v>
      </c>
      <c r="AW1441">
        <v>17.41</v>
      </c>
      <c r="AX1441">
        <v>0</v>
      </c>
      <c r="AY1441">
        <v>0</v>
      </c>
      <c r="AZ1441">
        <v>0</v>
      </c>
      <c r="BA1441">
        <v>0</v>
      </c>
      <c r="BB1441">
        <v>0</v>
      </c>
      <c r="BC1441">
        <v>0</v>
      </c>
      <c r="BD1441">
        <v>0</v>
      </c>
      <c r="BE1441">
        <v>0</v>
      </c>
      <c r="BF1441">
        <v>0</v>
      </c>
      <c r="BG1441">
        <v>0</v>
      </c>
      <c r="BH1441">
        <v>1</v>
      </c>
      <c r="BI1441">
        <v>5</v>
      </c>
      <c r="BJ1441">
        <v>7</v>
      </c>
      <c r="BK1441">
        <v>7</v>
      </c>
      <c r="BL1441">
        <v>230.97</v>
      </c>
      <c r="BM1441">
        <v>34.65</v>
      </c>
      <c r="BN1441">
        <v>265.62</v>
      </c>
      <c r="BO1441">
        <v>265.62</v>
      </c>
      <c r="BQ1441" t="s">
        <v>1132</v>
      </c>
      <c r="BR1441" t="s">
        <v>82</v>
      </c>
      <c r="BS1441" s="3">
        <v>46002</v>
      </c>
      <c r="BT1441" s="4">
        <v>0.55625000000000002</v>
      </c>
      <c r="BU1441" t="s">
        <v>1281</v>
      </c>
      <c r="BV1441" t="s">
        <v>84</v>
      </c>
      <c r="BY1441">
        <v>35000</v>
      </c>
      <c r="BZ1441" t="s">
        <v>30</v>
      </c>
      <c r="CC1441" t="s">
        <v>529</v>
      </c>
      <c r="CD1441" s="5" t="s">
        <v>1134</v>
      </c>
      <c r="CE1441" t="s">
        <v>229</v>
      </c>
      <c r="CI1441">
        <v>1</v>
      </c>
      <c r="CJ1441">
        <v>1</v>
      </c>
      <c r="CK1441">
        <v>43</v>
      </c>
      <c r="CL1441" t="s">
        <v>87</v>
      </c>
    </row>
    <row r="1442" spans="1:90" x14ac:dyDescent="0.3">
      <c r="A1442" t="s">
        <v>72</v>
      </c>
      <c r="B1442" t="s">
        <v>73</v>
      </c>
      <c r="C1442" t="s">
        <v>74</v>
      </c>
      <c r="E1442" t="str">
        <f>"080069823593"</f>
        <v>080069823593</v>
      </c>
      <c r="F1442" s="3">
        <v>46001</v>
      </c>
      <c r="G1442">
        <v>202609</v>
      </c>
      <c r="H1442" t="s">
        <v>75</v>
      </c>
      <c r="I1442" t="s">
        <v>76</v>
      </c>
      <c r="J1442" t="s">
        <v>77</v>
      </c>
      <c r="K1442" t="s">
        <v>78</v>
      </c>
      <c r="L1442" t="s">
        <v>100</v>
      </c>
      <c r="M1442" t="s">
        <v>101</v>
      </c>
      <c r="N1442" t="s">
        <v>102</v>
      </c>
      <c r="O1442" t="s">
        <v>89</v>
      </c>
      <c r="P1442" t="str">
        <f>"4170072883                    "</f>
        <v xml:space="preserve">4170072883                    </v>
      </c>
      <c r="Q1442">
        <v>0</v>
      </c>
      <c r="R1442">
        <v>0</v>
      </c>
      <c r="S1442">
        <v>0</v>
      </c>
      <c r="T1442">
        <v>0</v>
      </c>
      <c r="U1442">
        <v>0</v>
      </c>
      <c r="V1442">
        <v>0</v>
      </c>
      <c r="W1442">
        <v>0</v>
      </c>
      <c r="X1442">
        <v>0</v>
      </c>
      <c r="Y1442">
        <v>0</v>
      </c>
      <c r="Z1442">
        <v>0</v>
      </c>
      <c r="AA1442">
        <v>0</v>
      </c>
      <c r="AB1442">
        <v>0</v>
      </c>
      <c r="AC1442">
        <v>0</v>
      </c>
      <c r="AD1442">
        <v>0</v>
      </c>
      <c r="AE1442">
        <v>0</v>
      </c>
      <c r="AF1442">
        <v>0</v>
      </c>
      <c r="AG1442">
        <v>0</v>
      </c>
      <c r="AH1442">
        <v>0</v>
      </c>
      <c r="AI1442">
        <v>0</v>
      </c>
      <c r="AJ1442">
        <v>0</v>
      </c>
      <c r="AK1442">
        <v>0</v>
      </c>
      <c r="AL1442">
        <v>0</v>
      </c>
      <c r="AM1442">
        <v>0</v>
      </c>
      <c r="AN1442">
        <v>0</v>
      </c>
      <c r="AO1442">
        <v>0</v>
      </c>
      <c r="AP1442">
        <v>0</v>
      </c>
      <c r="AQ1442">
        <v>25.52</v>
      </c>
      <c r="AR1442">
        <v>0</v>
      </c>
      <c r="AS1442">
        <v>0</v>
      </c>
      <c r="AT1442">
        <v>0</v>
      </c>
      <c r="AU1442">
        <v>0</v>
      </c>
      <c r="AV1442">
        <v>0</v>
      </c>
      <c r="AW1442">
        <v>0</v>
      </c>
      <c r="AX1442">
        <v>0</v>
      </c>
      <c r="AY1442">
        <v>0</v>
      </c>
      <c r="AZ1442">
        <v>0</v>
      </c>
      <c r="BA1442">
        <v>0</v>
      </c>
      <c r="BB1442">
        <v>0</v>
      </c>
      <c r="BC1442">
        <v>0</v>
      </c>
      <c r="BD1442">
        <v>0</v>
      </c>
      <c r="BE1442">
        <v>0</v>
      </c>
      <c r="BF1442">
        <v>0</v>
      </c>
      <c r="BG1442">
        <v>0</v>
      </c>
      <c r="BH1442">
        <v>1</v>
      </c>
      <c r="BI1442">
        <v>1</v>
      </c>
      <c r="BJ1442">
        <v>0.2</v>
      </c>
      <c r="BK1442">
        <v>1</v>
      </c>
      <c r="BL1442">
        <v>76.06</v>
      </c>
      <c r="BM1442">
        <v>11.41</v>
      </c>
      <c r="BN1442">
        <v>87.47</v>
      </c>
      <c r="BO1442">
        <v>87.47</v>
      </c>
      <c r="BQ1442" t="s">
        <v>103</v>
      </c>
      <c r="BR1442" t="s">
        <v>82</v>
      </c>
      <c r="BS1442" s="3">
        <v>46002</v>
      </c>
      <c r="BT1442" s="4">
        <v>0.34652777777777777</v>
      </c>
      <c r="BU1442" t="s">
        <v>2018</v>
      </c>
      <c r="BV1442" t="s">
        <v>84</v>
      </c>
      <c r="BY1442">
        <v>1200</v>
      </c>
      <c r="CA1442" t="s">
        <v>107</v>
      </c>
      <c r="CC1442" t="s">
        <v>101</v>
      </c>
      <c r="CD1442">
        <v>4051</v>
      </c>
      <c r="CE1442" t="s">
        <v>134</v>
      </c>
      <c r="CF1442" s="3">
        <v>46002</v>
      </c>
      <c r="CI1442">
        <v>1</v>
      </c>
      <c r="CJ1442">
        <v>1</v>
      </c>
      <c r="CK1442">
        <v>21</v>
      </c>
      <c r="CL1442" t="s">
        <v>87</v>
      </c>
    </row>
    <row r="1443" spans="1:90" x14ac:dyDescent="0.3">
      <c r="A1443" t="s">
        <v>72</v>
      </c>
      <c r="B1443" t="s">
        <v>73</v>
      </c>
      <c r="C1443" t="s">
        <v>74</v>
      </c>
      <c r="E1443" t="str">
        <f>"080069823612"</f>
        <v>080069823612</v>
      </c>
      <c r="F1443" s="3">
        <v>46001</v>
      </c>
      <c r="G1443">
        <v>202609</v>
      </c>
      <c r="H1443" t="s">
        <v>75</v>
      </c>
      <c r="I1443" t="s">
        <v>76</v>
      </c>
      <c r="J1443" t="s">
        <v>77</v>
      </c>
      <c r="K1443" t="s">
        <v>78</v>
      </c>
      <c r="L1443" t="s">
        <v>437</v>
      </c>
      <c r="M1443" t="s">
        <v>438</v>
      </c>
      <c r="N1443" t="s">
        <v>439</v>
      </c>
      <c r="O1443" t="s">
        <v>89</v>
      </c>
      <c r="P1443" t="str">
        <f>"4170072894                    "</f>
        <v xml:space="preserve">4170072894                    </v>
      </c>
      <c r="Q1443">
        <v>0</v>
      </c>
      <c r="R1443">
        <v>0</v>
      </c>
      <c r="S1443">
        <v>0</v>
      </c>
      <c r="T1443">
        <v>0</v>
      </c>
      <c r="U1443">
        <v>0</v>
      </c>
      <c r="V1443">
        <v>0</v>
      </c>
      <c r="W1443">
        <v>0</v>
      </c>
      <c r="X1443">
        <v>0</v>
      </c>
      <c r="Y1443">
        <v>0</v>
      </c>
      <c r="Z1443">
        <v>0</v>
      </c>
      <c r="AA1443">
        <v>0</v>
      </c>
      <c r="AB1443">
        <v>0</v>
      </c>
      <c r="AC1443">
        <v>0</v>
      </c>
      <c r="AD1443">
        <v>0</v>
      </c>
      <c r="AE1443">
        <v>0</v>
      </c>
      <c r="AF1443">
        <v>0</v>
      </c>
      <c r="AG1443">
        <v>0</v>
      </c>
      <c r="AH1443">
        <v>0</v>
      </c>
      <c r="AI1443">
        <v>0</v>
      </c>
      <c r="AJ1443">
        <v>0</v>
      </c>
      <c r="AK1443">
        <v>0</v>
      </c>
      <c r="AL1443">
        <v>0</v>
      </c>
      <c r="AM1443">
        <v>0</v>
      </c>
      <c r="AN1443">
        <v>0</v>
      </c>
      <c r="AO1443">
        <v>0</v>
      </c>
      <c r="AP1443">
        <v>0</v>
      </c>
      <c r="AQ1443">
        <v>161.11000000000001</v>
      </c>
      <c r="AR1443">
        <v>0</v>
      </c>
      <c r="AS1443">
        <v>0</v>
      </c>
      <c r="AT1443">
        <v>0</v>
      </c>
      <c r="AU1443">
        <v>0</v>
      </c>
      <c r="AV1443">
        <v>0</v>
      </c>
      <c r="AW1443">
        <v>0</v>
      </c>
      <c r="AX1443">
        <v>0</v>
      </c>
      <c r="AY1443">
        <v>0</v>
      </c>
      <c r="AZ1443">
        <v>0</v>
      </c>
      <c r="BA1443">
        <v>0</v>
      </c>
      <c r="BB1443">
        <v>0</v>
      </c>
      <c r="BC1443">
        <v>0</v>
      </c>
      <c r="BD1443">
        <v>0</v>
      </c>
      <c r="BE1443">
        <v>0</v>
      </c>
      <c r="BF1443">
        <v>0</v>
      </c>
      <c r="BG1443">
        <v>0</v>
      </c>
      <c r="BH1443">
        <v>1</v>
      </c>
      <c r="BI1443">
        <v>4</v>
      </c>
      <c r="BJ1443">
        <v>7</v>
      </c>
      <c r="BK1443">
        <v>7</v>
      </c>
      <c r="BL1443">
        <v>480.14</v>
      </c>
      <c r="BM1443">
        <v>72.02</v>
      </c>
      <c r="BN1443">
        <v>552.16</v>
      </c>
      <c r="BO1443">
        <v>552.16</v>
      </c>
      <c r="BQ1443" t="s">
        <v>440</v>
      </c>
      <c r="BR1443" t="s">
        <v>82</v>
      </c>
      <c r="BS1443" s="3">
        <v>46002</v>
      </c>
      <c r="BT1443" s="4">
        <v>0.57916666666666672</v>
      </c>
      <c r="BU1443" t="s">
        <v>1974</v>
      </c>
      <c r="BV1443" t="s">
        <v>84</v>
      </c>
      <c r="BY1443">
        <v>35000</v>
      </c>
      <c r="CA1443" t="s">
        <v>442</v>
      </c>
      <c r="CC1443" t="s">
        <v>438</v>
      </c>
      <c r="CD1443">
        <v>3290</v>
      </c>
      <c r="CE1443" t="s">
        <v>93</v>
      </c>
      <c r="CI1443">
        <v>1</v>
      </c>
      <c r="CJ1443">
        <v>1</v>
      </c>
      <c r="CK1443">
        <v>23</v>
      </c>
      <c r="CL1443" t="s">
        <v>87</v>
      </c>
    </row>
    <row r="1444" spans="1:90" x14ac:dyDescent="0.3">
      <c r="A1444" t="s">
        <v>72</v>
      </c>
      <c r="B1444" t="s">
        <v>73</v>
      </c>
      <c r="C1444" t="s">
        <v>74</v>
      </c>
      <c r="E1444" t="str">
        <f>"080069823653"</f>
        <v>080069823653</v>
      </c>
      <c r="F1444" s="3">
        <v>46001</v>
      </c>
      <c r="G1444">
        <v>202609</v>
      </c>
      <c r="H1444" t="s">
        <v>75</v>
      </c>
      <c r="I1444" t="s">
        <v>76</v>
      </c>
      <c r="J1444" t="s">
        <v>77</v>
      </c>
      <c r="K1444" t="s">
        <v>78</v>
      </c>
      <c r="L1444" t="s">
        <v>189</v>
      </c>
      <c r="M1444" t="s">
        <v>190</v>
      </c>
      <c r="N1444" t="s">
        <v>1053</v>
      </c>
      <c r="O1444" t="s">
        <v>89</v>
      </c>
      <c r="P1444" t="str">
        <f>"4170072885                    "</f>
        <v xml:space="preserve">4170072885                    </v>
      </c>
      <c r="Q1444">
        <v>0</v>
      </c>
      <c r="R1444">
        <v>0</v>
      </c>
      <c r="S1444">
        <v>0</v>
      </c>
      <c r="T1444">
        <v>0</v>
      </c>
      <c r="U1444">
        <v>0</v>
      </c>
      <c r="V1444">
        <v>0</v>
      </c>
      <c r="W1444">
        <v>0</v>
      </c>
      <c r="X1444">
        <v>0</v>
      </c>
      <c r="Y1444">
        <v>0</v>
      </c>
      <c r="Z1444">
        <v>0</v>
      </c>
      <c r="AA1444">
        <v>0</v>
      </c>
      <c r="AB1444">
        <v>0</v>
      </c>
      <c r="AC1444">
        <v>0</v>
      </c>
      <c r="AD1444">
        <v>0</v>
      </c>
      <c r="AE1444">
        <v>0</v>
      </c>
      <c r="AF1444">
        <v>0</v>
      </c>
      <c r="AG1444">
        <v>0</v>
      </c>
      <c r="AH1444">
        <v>0</v>
      </c>
      <c r="AI1444">
        <v>0</v>
      </c>
      <c r="AJ1444">
        <v>0</v>
      </c>
      <c r="AK1444">
        <v>0</v>
      </c>
      <c r="AL1444">
        <v>0</v>
      </c>
      <c r="AM1444">
        <v>0</v>
      </c>
      <c r="AN1444">
        <v>0</v>
      </c>
      <c r="AO1444">
        <v>0</v>
      </c>
      <c r="AP1444">
        <v>0</v>
      </c>
      <c r="AQ1444">
        <v>38.28</v>
      </c>
      <c r="AR1444">
        <v>0</v>
      </c>
      <c r="AS1444">
        <v>0</v>
      </c>
      <c r="AT1444">
        <v>0</v>
      </c>
      <c r="AU1444">
        <v>0</v>
      </c>
      <c r="AV1444">
        <v>0</v>
      </c>
      <c r="AW1444">
        <v>0</v>
      </c>
      <c r="AX1444">
        <v>0</v>
      </c>
      <c r="AY1444">
        <v>0</v>
      </c>
      <c r="AZ1444">
        <v>0</v>
      </c>
      <c r="BA1444">
        <v>0</v>
      </c>
      <c r="BB1444">
        <v>0</v>
      </c>
      <c r="BC1444">
        <v>0</v>
      </c>
      <c r="BD1444">
        <v>0</v>
      </c>
      <c r="BE1444">
        <v>0</v>
      </c>
      <c r="BF1444">
        <v>0</v>
      </c>
      <c r="BG1444">
        <v>0</v>
      </c>
      <c r="BH1444">
        <v>1</v>
      </c>
      <c r="BI1444">
        <v>3</v>
      </c>
      <c r="BJ1444">
        <v>1.1000000000000001</v>
      </c>
      <c r="BK1444">
        <v>3</v>
      </c>
      <c r="BL1444">
        <v>114.08</v>
      </c>
      <c r="BM1444">
        <v>17.11</v>
      </c>
      <c r="BN1444">
        <v>131.19</v>
      </c>
      <c r="BO1444">
        <v>131.19</v>
      </c>
      <c r="BQ1444" t="s">
        <v>1054</v>
      </c>
      <c r="BR1444" t="s">
        <v>82</v>
      </c>
      <c r="BS1444" s="3">
        <v>46002</v>
      </c>
      <c r="BT1444" s="4">
        <v>0.51458333333333328</v>
      </c>
      <c r="BU1444" t="s">
        <v>1996</v>
      </c>
      <c r="BV1444" t="s">
        <v>87</v>
      </c>
      <c r="BY1444">
        <v>5510</v>
      </c>
      <c r="CA1444" t="s">
        <v>794</v>
      </c>
      <c r="CC1444" t="s">
        <v>190</v>
      </c>
      <c r="CD1444">
        <v>3201</v>
      </c>
      <c r="CE1444" t="s">
        <v>86</v>
      </c>
      <c r="CI1444">
        <v>1</v>
      </c>
      <c r="CJ1444">
        <v>1</v>
      </c>
      <c r="CK1444">
        <v>21</v>
      </c>
      <c r="CL1444" t="s">
        <v>87</v>
      </c>
    </row>
    <row r="1445" spans="1:90" x14ac:dyDescent="0.3">
      <c r="A1445" t="s">
        <v>72</v>
      </c>
      <c r="B1445" t="s">
        <v>73</v>
      </c>
      <c r="C1445" t="s">
        <v>74</v>
      </c>
      <c r="E1445" t="str">
        <f>"080069823671"</f>
        <v>080069823671</v>
      </c>
      <c r="F1445" s="3">
        <v>46001</v>
      </c>
      <c r="G1445">
        <v>202609</v>
      </c>
      <c r="H1445" t="s">
        <v>75</v>
      </c>
      <c r="I1445" t="s">
        <v>76</v>
      </c>
      <c r="J1445" t="s">
        <v>77</v>
      </c>
      <c r="K1445" t="s">
        <v>78</v>
      </c>
      <c r="L1445" t="s">
        <v>465</v>
      </c>
      <c r="M1445" t="s">
        <v>466</v>
      </c>
      <c r="N1445" t="s">
        <v>2136</v>
      </c>
      <c r="O1445" t="s">
        <v>89</v>
      </c>
      <c r="P1445" t="str">
        <f>"4170072895                    "</f>
        <v xml:space="preserve">4170072895                    </v>
      </c>
      <c r="Q1445">
        <v>0</v>
      </c>
      <c r="R1445">
        <v>0</v>
      </c>
      <c r="S1445">
        <v>0</v>
      </c>
      <c r="T1445">
        <v>0</v>
      </c>
      <c r="U1445">
        <v>0</v>
      </c>
      <c r="V1445">
        <v>0</v>
      </c>
      <c r="W1445">
        <v>0</v>
      </c>
      <c r="X1445">
        <v>0</v>
      </c>
      <c r="Y1445">
        <v>0</v>
      </c>
      <c r="Z1445">
        <v>0</v>
      </c>
      <c r="AA1445">
        <v>0</v>
      </c>
      <c r="AB1445">
        <v>0</v>
      </c>
      <c r="AC1445">
        <v>0</v>
      </c>
      <c r="AD1445">
        <v>0</v>
      </c>
      <c r="AE1445">
        <v>0</v>
      </c>
      <c r="AF1445">
        <v>0</v>
      </c>
      <c r="AG1445">
        <v>0</v>
      </c>
      <c r="AH1445">
        <v>0</v>
      </c>
      <c r="AI1445">
        <v>0</v>
      </c>
      <c r="AJ1445">
        <v>0</v>
      </c>
      <c r="AK1445">
        <v>0</v>
      </c>
      <c r="AL1445">
        <v>0</v>
      </c>
      <c r="AM1445">
        <v>0</v>
      </c>
      <c r="AN1445">
        <v>0</v>
      </c>
      <c r="AO1445">
        <v>0</v>
      </c>
      <c r="AP1445">
        <v>0</v>
      </c>
      <c r="AQ1445">
        <v>19.940000000000001</v>
      </c>
      <c r="AR1445">
        <v>0</v>
      </c>
      <c r="AS1445">
        <v>0</v>
      </c>
      <c r="AT1445">
        <v>0</v>
      </c>
      <c r="AU1445">
        <v>0</v>
      </c>
      <c r="AV1445">
        <v>0</v>
      </c>
      <c r="AW1445">
        <v>0</v>
      </c>
      <c r="AX1445">
        <v>0</v>
      </c>
      <c r="AY1445">
        <v>0</v>
      </c>
      <c r="AZ1445">
        <v>0</v>
      </c>
      <c r="BA1445">
        <v>0</v>
      </c>
      <c r="BB1445">
        <v>0</v>
      </c>
      <c r="BC1445">
        <v>0</v>
      </c>
      <c r="BD1445">
        <v>0</v>
      </c>
      <c r="BE1445">
        <v>0</v>
      </c>
      <c r="BF1445">
        <v>0</v>
      </c>
      <c r="BG1445">
        <v>0</v>
      </c>
      <c r="BH1445">
        <v>1</v>
      </c>
      <c r="BI1445">
        <v>2</v>
      </c>
      <c r="BJ1445">
        <v>1.1000000000000001</v>
      </c>
      <c r="BK1445">
        <v>2</v>
      </c>
      <c r="BL1445">
        <v>59.42</v>
      </c>
      <c r="BM1445">
        <v>8.91</v>
      </c>
      <c r="BN1445">
        <v>68.33</v>
      </c>
      <c r="BO1445">
        <v>68.33</v>
      </c>
      <c r="BQ1445" t="s">
        <v>2137</v>
      </c>
      <c r="BR1445" t="s">
        <v>82</v>
      </c>
      <c r="BS1445" s="3">
        <v>46002</v>
      </c>
      <c r="BT1445" s="4">
        <v>0.35069444444444442</v>
      </c>
      <c r="BU1445" t="s">
        <v>2138</v>
      </c>
      <c r="BV1445" t="s">
        <v>84</v>
      </c>
      <c r="BY1445">
        <v>5510</v>
      </c>
      <c r="CA1445" t="s">
        <v>727</v>
      </c>
      <c r="CC1445" t="s">
        <v>466</v>
      </c>
      <c r="CD1445">
        <v>1428</v>
      </c>
      <c r="CE1445" t="s">
        <v>86</v>
      </c>
      <c r="CF1445" s="3">
        <v>46003</v>
      </c>
      <c r="CI1445">
        <v>1</v>
      </c>
      <c r="CJ1445">
        <v>1</v>
      </c>
      <c r="CK1445">
        <v>22</v>
      </c>
      <c r="CL1445" t="s">
        <v>87</v>
      </c>
    </row>
    <row r="1446" spans="1:90" x14ac:dyDescent="0.3">
      <c r="A1446" t="s">
        <v>72</v>
      </c>
      <c r="B1446" t="s">
        <v>73</v>
      </c>
      <c r="C1446" t="s">
        <v>74</v>
      </c>
      <c r="E1446" t="str">
        <f>"080069823694"</f>
        <v>080069823694</v>
      </c>
      <c r="F1446" s="3">
        <v>46001</v>
      </c>
      <c r="G1446">
        <v>202609</v>
      </c>
      <c r="H1446" t="s">
        <v>75</v>
      </c>
      <c r="I1446" t="s">
        <v>76</v>
      </c>
      <c r="J1446" t="s">
        <v>77</v>
      </c>
      <c r="K1446" t="s">
        <v>78</v>
      </c>
      <c r="L1446" t="s">
        <v>302</v>
      </c>
      <c r="M1446" t="s">
        <v>303</v>
      </c>
      <c r="N1446" t="s">
        <v>425</v>
      </c>
      <c r="O1446" t="s">
        <v>80</v>
      </c>
      <c r="P1446" t="str">
        <f>"4170072913                    "</f>
        <v xml:space="preserve">4170072913                    </v>
      </c>
      <c r="Q1446">
        <v>0</v>
      </c>
      <c r="R1446">
        <v>0</v>
      </c>
      <c r="S1446">
        <v>0</v>
      </c>
      <c r="T1446">
        <v>0</v>
      </c>
      <c r="U1446">
        <v>0</v>
      </c>
      <c r="V1446">
        <v>0</v>
      </c>
      <c r="W1446">
        <v>0</v>
      </c>
      <c r="X1446">
        <v>0</v>
      </c>
      <c r="Y1446">
        <v>0</v>
      </c>
      <c r="Z1446">
        <v>0</v>
      </c>
      <c r="AA1446">
        <v>0</v>
      </c>
      <c r="AB1446">
        <v>0</v>
      </c>
      <c r="AC1446">
        <v>0</v>
      </c>
      <c r="AD1446">
        <v>0</v>
      </c>
      <c r="AE1446">
        <v>0</v>
      </c>
      <c r="AF1446">
        <v>0</v>
      </c>
      <c r="AG1446">
        <v>0</v>
      </c>
      <c r="AH1446">
        <v>0</v>
      </c>
      <c r="AI1446">
        <v>0</v>
      </c>
      <c r="AJ1446">
        <v>0</v>
      </c>
      <c r="AK1446">
        <v>0</v>
      </c>
      <c r="AL1446">
        <v>0</v>
      </c>
      <c r="AM1446">
        <v>0</v>
      </c>
      <c r="AN1446">
        <v>0</v>
      </c>
      <c r="AO1446">
        <v>0</v>
      </c>
      <c r="AP1446">
        <v>0</v>
      </c>
      <c r="AQ1446">
        <v>49.36</v>
      </c>
      <c r="AR1446">
        <v>0</v>
      </c>
      <c r="AS1446">
        <v>0</v>
      </c>
      <c r="AT1446">
        <v>0</v>
      </c>
      <c r="AU1446">
        <v>0</v>
      </c>
      <c r="AV1446">
        <v>0</v>
      </c>
      <c r="AW1446">
        <v>0</v>
      </c>
      <c r="AX1446">
        <v>0</v>
      </c>
      <c r="AY1446">
        <v>0</v>
      </c>
      <c r="AZ1446">
        <v>0</v>
      </c>
      <c r="BA1446">
        <v>0</v>
      </c>
      <c r="BB1446">
        <v>0</v>
      </c>
      <c r="BC1446">
        <v>0</v>
      </c>
      <c r="BD1446">
        <v>0</v>
      </c>
      <c r="BE1446">
        <v>0</v>
      </c>
      <c r="BF1446">
        <v>0</v>
      </c>
      <c r="BG1446">
        <v>0</v>
      </c>
      <c r="BH1446">
        <v>1</v>
      </c>
      <c r="BI1446">
        <v>3</v>
      </c>
      <c r="BJ1446">
        <v>1.8</v>
      </c>
      <c r="BK1446">
        <v>3</v>
      </c>
      <c r="BL1446">
        <v>153.19999999999999</v>
      </c>
      <c r="BM1446">
        <v>22.98</v>
      </c>
      <c r="BN1446">
        <v>176.18</v>
      </c>
      <c r="BO1446">
        <v>176.18</v>
      </c>
      <c r="BQ1446" t="s">
        <v>426</v>
      </c>
      <c r="BR1446" t="s">
        <v>82</v>
      </c>
      <c r="BS1446" s="3">
        <v>46002</v>
      </c>
      <c r="BT1446" s="4">
        <v>0.36666666666666664</v>
      </c>
      <c r="BU1446" t="s">
        <v>524</v>
      </c>
      <c r="BV1446" t="s">
        <v>84</v>
      </c>
      <c r="BY1446">
        <v>8816</v>
      </c>
      <c r="CA1446">
        <v>7712195338085</v>
      </c>
      <c r="CC1446" t="s">
        <v>303</v>
      </c>
      <c r="CD1446" s="5" t="s">
        <v>350</v>
      </c>
      <c r="CE1446" t="s">
        <v>86</v>
      </c>
      <c r="CF1446" s="3">
        <v>46002</v>
      </c>
      <c r="CI1446">
        <v>1</v>
      </c>
      <c r="CJ1446">
        <v>1</v>
      </c>
      <c r="CK1446">
        <v>41</v>
      </c>
      <c r="CL1446" t="s">
        <v>87</v>
      </c>
    </row>
    <row r="1447" spans="1:90" x14ac:dyDescent="0.3">
      <c r="A1447" t="s">
        <v>72</v>
      </c>
      <c r="B1447" t="s">
        <v>73</v>
      </c>
      <c r="C1447" t="s">
        <v>74</v>
      </c>
      <c r="E1447" t="str">
        <f>"080069823801"</f>
        <v>080069823801</v>
      </c>
      <c r="F1447" s="3">
        <v>46001</v>
      </c>
      <c r="G1447">
        <v>202609</v>
      </c>
      <c r="H1447" t="s">
        <v>75</v>
      </c>
      <c r="I1447" t="s">
        <v>76</v>
      </c>
      <c r="J1447" t="s">
        <v>77</v>
      </c>
      <c r="K1447" t="s">
        <v>78</v>
      </c>
      <c r="L1447" t="s">
        <v>156</v>
      </c>
      <c r="M1447" t="s">
        <v>157</v>
      </c>
      <c r="N1447" t="s">
        <v>261</v>
      </c>
      <c r="O1447" t="s">
        <v>89</v>
      </c>
      <c r="P1447" t="str">
        <f>"4170072903                    "</f>
        <v xml:space="preserve">4170072903                    </v>
      </c>
      <c r="Q1447">
        <v>0</v>
      </c>
      <c r="R1447">
        <v>0</v>
      </c>
      <c r="S1447">
        <v>0</v>
      </c>
      <c r="T1447">
        <v>0</v>
      </c>
      <c r="U1447">
        <v>0</v>
      </c>
      <c r="V1447">
        <v>0</v>
      </c>
      <c r="W1447">
        <v>0</v>
      </c>
      <c r="X1447">
        <v>0</v>
      </c>
      <c r="Y1447">
        <v>0</v>
      </c>
      <c r="Z1447">
        <v>0</v>
      </c>
      <c r="AA1447">
        <v>0</v>
      </c>
      <c r="AB1447">
        <v>0</v>
      </c>
      <c r="AC1447">
        <v>0</v>
      </c>
      <c r="AD1447">
        <v>0</v>
      </c>
      <c r="AE1447">
        <v>0</v>
      </c>
      <c r="AF1447">
        <v>0</v>
      </c>
      <c r="AG1447">
        <v>0</v>
      </c>
      <c r="AH1447">
        <v>0</v>
      </c>
      <c r="AI1447">
        <v>0</v>
      </c>
      <c r="AJ1447">
        <v>0</v>
      </c>
      <c r="AK1447">
        <v>0</v>
      </c>
      <c r="AL1447">
        <v>0</v>
      </c>
      <c r="AM1447">
        <v>0</v>
      </c>
      <c r="AN1447">
        <v>0</v>
      </c>
      <c r="AO1447">
        <v>0</v>
      </c>
      <c r="AP1447">
        <v>0</v>
      </c>
      <c r="AQ1447">
        <v>25.52</v>
      </c>
      <c r="AR1447">
        <v>0</v>
      </c>
      <c r="AS1447">
        <v>0</v>
      </c>
      <c r="AT1447">
        <v>0</v>
      </c>
      <c r="AU1447">
        <v>0</v>
      </c>
      <c r="AV1447">
        <v>0</v>
      </c>
      <c r="AW1447">
        <v>0</v>
      </c>
      <c r="AX1447">
        <v>0</v>
      </c>
      <c r="AY1447">
        <v>0</v>
      </c>
      <c r="AZ1447">
        <v>0</v>
      </c>
      <c r="BA1447">
        <v>0</v>
      </c>
      <c r="BB1447">
        <v>0</v>
      </c>
      <c r="BC1447">
        <v>0</v>
      </c>
      <c r="BD1447">
        <v>0</v>
      </c>
      <c r="BE1447">
        <v>0</v>
      </c>
      <c r="BF1447">
        <v>0</v>
      </c>
      <c r="BG1447">
        <v>0</v>
      </c>
      <c r="BH1447">
        <v>1</v>
      </c>
      <c r="BI1447">
        <v>2</v>
      </c>
      <c r="BJ1447">
        <v>1.1000000000000001</v>
      </c>
      <c r="BK1447">
        <v>2</v>
      </c>
      <c r="BL1447">
        <v>76.06</v>
      </c>
      <c r="BM1447">
        <v>11.41</v>
      </c>
      <c r="BN1447">
        <v>87.47</v>
      </c>
      <c r="BO1447">
        <v>87.47</v>
      </c>
      <c r="BQ1447" t="s">
        <v>262</v>
      </c>
      <c r="BR1447" t="s">
        <v>82</v>
      </c>
      <c r="BS1447" s="3">
        <v>46002</v>
      </c>
      <c r="BT1447" s="4">
        <v>0.41041666666666665</v>
      </c>
      <c r="BU1447" t="s">
        <v>1210</v>
      </c>
      <c r="BV1447" t="s">
        <v>84</v>
      </c>
      <c r="BY1447">
        <v>5320</v>
      </c>
      <c r="CA1447" t="s">
        <v>264</v>
      </c>
      <c r="CC1447" t="s">
        <v>157</v>
      </c>
      <c r="CD1447">
        <v>7441</v>
      </c>
      <c r="CE1447" t="s">
        <v>86</v>
      </c>
      <c r="CF1447" s="3">
        <v>46003</v>
      </c>
      <c r="CI1447">
        <v>1</v>
      </c>
      <c r="CJ1447">
        <v>1</v>
      </c>
      <c r="CK1447">
        <v>21</v>
      </c>
      <c r="CL1447" t="s">
        <v>87</v>
      </c>
    </row>
    <row r="1448" spans="1:90" x14ac:dyDescent="0.3">
      <c r="A1448" t="s">
        <v>72</v>
      </c>
      <c r="B1448" t="s">
        <v>73</v>
      </c>
      <c r="C1448" t="s">
        <v>74</v>
      </c>
      <c r="E1448" t="str">
        <f>"080069823858"</f>
        <v>080069823858</v>
      </c>
      <c r="F1448" s="3">
        <v>46001</v>
      </c>
      <c r="G1448">
        <v>202609</v>
      </c>
      <c r="H1448" t="s">
        <v>75</v>
      </c>
      <c r="I1448" t="s">
        <v>76</v>
      </c>
      <c r="J1448" t="s">
        <v>77</v>
      </c>
      <c r="K1448" t="s">
        <v>78</v>
      </c>
      <c r="L1448" t="s">
        <v>148</v>
      </c>
      <c r="M1448" t="s">
        <v>149</v>
      </c>
      <c r="N1448" t="s">
        <v>150</v>
      </c>
      <c r="O1448" t="s">
        <v>80</v>
      </c>
      <c r="P1448" t="str">
        <f>"4170072843                    "</f>
        <v xml:space="preserve">4170072843                    </v>
      </c>
      <c r="Q1448">
        <v>0</v>
      </c>
      <c r="R1448">
        <v>0</v>
      </c>
      <c r="S1448">
        <v>0</v>
      </c>
      <c r="T1448">
        <v>0</v>
      </c>
      <c r="U1448">
        <v>0</v>
      </c>
      <c r="V1448">
        <v>0</v>
      </c>
      <c r="W1448">
        <v>0</v>
      </c>
      <c r="X1448">
        <v>0</v>
      </c>
      <c r="Y1448">
        <v>0</v>
      </c>
      <c r="Z1448">
        <v>0</v>
      </c>
      <c r="AA1448">
        <v>0</v>
      </c>
      <c r="AB1448">
        <v>0</v>
      </c>
      <c r="AC1448">
        <v>0</v>
      </c>
      <c r="AD1448">
        <v>0</v>
      </c>
      <c r="AE1448">
        <v>0</v>
      </c>
      <c r="AF1448">
        <v>0</v>
      </c>
      <c r="AG1448">
        <v>0</v>
      </c>
      <c r="AH1448">
        <v>0</v>
      </c>
      <c r="AI1448">
        <v>0</v>
      </c>
      <c r="AJ1448">
        <v>0</v>
      </c>
      <c r="AK1448">
        <v>0</v>
      </c>
      <c r="AL1448">
        <v>0</v>
      </c>
      <c r="AM1448">
        <v>0</v>
      </c>
      <c r="AN1448">
        <v>0</v>
      </c>
      <c r="AO1448">
        <v>0</v>
      </c>
      <c r="AP1448">
        <v>0</v>
      </c>
      <c r="AQ1448">
        <v>83.84</v>
      </c>
      <c r="AR1448">
        <v>0</v>
      </c>
      <c r="AS1448">
        <v>0</v>
      </c>
      <c r="AT1448">
        <v>0</v>
      </c>
      <c r="AU1448">
        <v>0</v>
      </c>
      <c r="AV1448">
        <v>0</v>
      </c>
      <c r="AW1448">
        <v>0</v>
      </c>
      <c r="AX1448">
        <v>0</v>
      </c>
      <c r="AY1448">
        <v>0</v>
      </c>
      <c r="AZ1448">
        <v>0</v>
      </c>
      <c r="BA1448">
        <v>0</v>
      </c>
      <c r="BB1448">
        <v>0</v>
      </c>
      <c r="BC1448">
        <v>0</v>
      </c>
      <c r="BD1448">
        <v>0</v>
      </c>
      <c r="BE1448">
        <v>0</v>
      </c>
      <c r="BF1448">
        <v>0</v>
      </c>
      <c r="BG1448">
        <v>0</v>
      </c>
      <c r="BH1448">
        <v>1</v>
      </c>
      <c r="BI1448">
        <v>8</v>
      </c>
      <c r="BJ1448">
        <v>18.3</v>
      </c>
      <c r="BK1448">
        <v>19</v>
      </c>
      <c r="BL1448">
        <v>255.95</v>
      </c>
      <c r="BM1448">
        <v>38.39</v>
      </c>
      <c r="BN1448">
        <v>294.33999999999997</v>
      </c>
      <c r="BO1448">
        <v>294.33999999999997</v>
      </c>
      <c r="BQ1448" t="s">
        <v>1550</v>
      </c>
      <c r="BR1448" t="s">
        <v>82</v>
      </c>
      <c r="BS1448" t="s">
        <v>500</v>
      </c>
      <c r="BY1448">
        <v>91264</v>
      </c>
      <c r="CC1448" t="s">
        <v>149</v>
      </c>
      <c r="CD1448">
        <v>7299</v>
      </c>
      <c r="CE1448" t="s">
        <v>86</v>
      </c>
      <c r="CI1448">
        <v>3</v>
      </c>
      <c r="CJ1448" t="s">
        <v>500</v>
      </c>
      <c r="CK1448">
        <v>43</v>
      </c>
      <c r="CL1448" t="s">
        <v>87</v>
      </c>
    </row>
    <row r="1449" spans="1:90" x14ac:dyDescent="0.3">
      <c r="A1449" t="s">
        <v>72</v>
      </c>
      <c r="B1449" t="s">
        <v>73</v>
      </c>
      <c r="C1449" t="s">
        <v>74</v>
      </c>
      <c r="E1449" t="str">
        <f>"080069823883"</f>
        <v>080069823883</v>
      </c>
      <c r="F1449" s="3">
        <v>46001</v>
      </c>
      <c r="G1449">
        <v>202609</v>
      </c>
      <c r="H1449" t="s">
        <v>75</v>
      </c>
      <c r="I1449" t="s">
        <v>76</v>
      </c>
      <c r="J1449" t="s">
        <v>77</v>
      </c>
      <c r="K1449" t="s">
        <v>78</v>
      </c>
      <c r="L1449" t="s">
        <v>437</v>
      </c>
      <c r="M1449" t="s">
        <v>438</v>
      </c>
      <c r="N1449" t="s">
        <v>853</v>
      </c>
      <c r="O1449" t="s">
        <v>89</v>
      </c>
      <c r="P1449" t="str">
        <f>"4170072910                    "</f>
        <v xml:space="preserve">4170072910                    </v>
      </c>
      <c r="Q1449">
        <v>0</v>
      </c>
      <c r="R1449">
        <v>0</v>
      </c>
      <c r="S1449">
        <v>0</v>
      </c>
      <c r="T1449">
        <v>0</v>
      </c>
      <c r="U1449">
        <v>0</v>
      </c>
      <c r="V1449">
        <v>0</v>
      </c>
      <c r="W1449">
        <v>0</v>
      </c>
      <c r="X1449">
        <v>0</v>
      </c>
      <c r="Y1449">
        <v>0</v>
      </c>
      <c r="Z1449">
        <v>0</v>
      </c>
      <c r="AA1449">
        <v>0</v>
      </c>
      <c r="AB1449">
        <v>0</v>
      </c>
      <c r="AC1449">
        <v>0</v>
      </c>
      <c r="AD1449">
        <v>0</v>
      </c>
      <c r="AE1449">
        <v>0</v>
      </c>
      <c r="AF1449">
        <v>0</v>
      </c>
      <c r="AG1449">
        <v>0</v>
      </c>
      <c r="AH1449">
        <v>0</v>
      </c>
      <c r="AI1449">
        <v>0</v>
      </c>
      <c r="AJ1449">
        <v>0</v>
      </c>
      <c r="AK1449">
        <v>0</v>
      </c>
      <c r="AL1449">
        <v>0</v>
      </c>
      <c r="AM1449">
        <v>0</v>
      </c>
      <c r="AN1449">
        <v>0</v>
      </c>
      <c r="AO1449">
        <v>0</v>
      </c>
      <c r="AP1449">
        <v>0</v>
      </c>
      <c r="AQ1449">
        <v>49.45</v>
      </c>
      <c r="AR1449">
        <v>0</v>
      </c>
      <c r="AS1449">
        <v>0</v>
      </c>
      <c r="AT1449">
        <v>0</v>
      </c>
      <c r="AU1449">
        <v>0</v>
      </c>
      <c r="AV1449">
        <v>0</v>
      </c>
      <c r="AW1449">
        <v>0</v>
      </c>
      <c r="AX1449">
        <v>0</v>
      </c>
      <c r="AY1449">
        <v>0</v>
      </c>
      <c r="AZ1449">
        <v>0</v>
      </c>
      <c r="BA1449">
        <v>0</v>
      </c>
      <c r="BB1449">
        <v>0</v>
      </c>
      <c r="BC1449">
        <v>0</v>
      </c>
      <c r="BD1449">
        <v>0</v>
      </c>
      <c r="BE1449">
        <v>0</v>
      </c>
      <c r="BF1449">
        <v>0</v>
      </c>
      <c r="BG1449">
        <v>0</v>
      </c>
      <c r="BH1449">
        <v>1</v>
      </c>
      <c r="BI1449">
        <v>1</v>
      </c>
      <c r="BJ1449">
        <v>0.7</v>
      </c>
      <c r="BK1449">
        <v>1</v>
      </c>
      <c r="BL1449">
        <v>147.38</v>
      </c>
      <c r="BM1449">
        <v>22.11</v>
      </c>
      <c r="BN1449">
        <v>169.49</v>
      </c>
      <c r="BO1449">
        <v>169.49</v>
      </c>
      <c r="BQ1449" t="s">
        <v>854</v>
      </c>
      <c r="BR1449" t="s">
        <v>82</v>
      </c>
      <c r="BS1449" t="s">
        <v>500</v>
      </c>
      <c r="BY1449">
        <v>3306</v>
      </c>
      <c r="CC1449" t="s">
        <v>438</v>
      </c>
      <c r="CD1449">
        <v>3280</v>
      </c>
      <c r="CE1449" t="s">
        <v>86</v>
      </c>
      <c r="CI1449">
        <v>1</v>
      </c>
      <c r="CJ1449" t="s">
        <v>500</v>
      </c>
      <c r="CK1449">
        <v>23</v>
      </c>
      <c r="CL1449" t="s">
        <v>87</v>
      </c>
    </row>
    <row r="1450" spans="1:90" x14ac:dyDescent="0.3">
      <c r="A1450" t="s">
        <v>72</v>
      </c>
      <c r="B1450" t="s">
        <v>73</v>
      </c>
      <c r="C1450" t="s">
        <v>74</v>
      </c>
      <c r="E1450" t="str">
        <f>"080069824046"</f>
        <v>080069824046</v>
      </c>
      <c r="F1450" s="3">
        <v>46001</v>
      </c>
      <c r="G1450">
        <v>202609</v>
      </c>
      <c r="H1450" t="s">
        <v>75</v>
      </c>
      <c r="I1450" t="s">
        <v>76</v>
      </c>
      <c r="J1450" t="s">
        <v>77</v>
      </c>
      <c r="K1450" t="s">
        <v>78</v>
      </c>
      <c r="L1450" t="s">
        <v>189</v>
      </c>
      <c r="M1450" t="s">
        <v>190</v>
      </c>
      <c r="N1450" t="s">
        <v>1989</v>
      </c>
      <c r="O1450" t="s">
        <v>89</v>
      </c>
      <c r="P1450" t="str">
        <f>"4170072934                    "</f>
        <v xml:space="preserve">4170072934                    </v>
      </c>
      <c r="Q1450">
        <v>0</v>
      </c>
      <c r="R1450">
        <v>0</v>
      </c>
      <c r="S1450">
        <v>0</v>
      </c>
      <c r="T1450">
        <v>0</v>
      </c>
      <c r="U1450">
        <v>0</v>
      </c>
      <c r="V1450">
        <v>0</v>
      </c>
      <c r="W1450">
        <v>0</v>
      </c>
      <c r="X1450">
        <v>0</v>
      </c>
      <c r="Y1450">
        <v>0</v>
      </c>
      <c r="Z1450">
        <v>0</v>
      </c>
      <c r="AA1450">
        <v>0</v>
      </c>
      <c r="AB1450">
        <v>0</v>
      </c>
      <c r="AC1450">
        <v>0</v>
      </c>
      <c r="AD1450">
        <v>0</v>
      </c>
      <c r="AE1450">
        <v>0</v>
      </c>
      <c r="AF1450">
        <v>0</v>
      </c>
      <c r="AG1450">
        <v>0</v>
      </c>
      <c r="AH1450">
        <v>0</v>
      </c>
      <c r="AI1450">
        <v>0</v>
      </c>
      <c r="AJ1450">
        <v>0</v>
      </c>
      <c r="AK1450">
        <v>0</v>
      </c>
      <c r="AL1450">
        <v>0</v>
      </c>
      <c r="AM1450">
        <v>0</v>
      </c>
      <c r="AN1450">
        <v>0</v>
      </c>
      <c r="AO1450">
        <v>0</v>
      </c>
      <c r="AP1450">
        <v>0</v>
      </c>
      <c r="AQ1450">
        <v>25.52</v>
      </c>
      <c r="AR1450">
        <v>0</v>
      </c>
      <c r="AS1450">
        <v>0</v>
      </c>
      <c r="AT1450">
        <v>0</v>
      </c>
      <c r="AU1450">
        <v>0</v>
      </c>
      <c r="AV1450">
        <v>0</v>
      </c>
      <c r="AW1450">
        <v>0</v>
      </c>
      <c r="AX1450">
        <v>0</v>
      </c>
      <c r="AY1450">
        <v>0</v>
      </c>
      <c r="AZ1450">
        <v>0</v>
      </c>
      <c r="BA1450">
        <v>0</v>
      </c>
      <c r="BB1450">
        <v>0</v>
      </c>
      <c r="BC1450">
        <v>0</v>
      </c>
      <c r="BD1450">
        <v>0</v>
      </c>
      <c r="BE1450">
        <v>0</v>
      </c>
      <c r="BF1450">
        <v>0</v>
      </c>
      <c r="BG1450">
        <v>0</v>
      </c>
      <c r="BH1450">
        <v>1</v>
      </c>
      <c r="BI1450">
        <v>1</v>
      </c>
      <c r="BJ1450">
        <v>1.9</v>
      </c>
      <c r="BK1450">
        <v>2</v>
      </c>
      <c r="BL1450">
        <v>76.06</v>
      </c>
      <c r="BM1450">
        <v>11.41</v>
      </c>
      <c r="BN1450">
        <v>87.47</v>
      </c>
      <c r="BO1450">
        <v>87.47</v>
      </c>
      <c r="BQ1450" t="s">
        <v>1990</v>
      </c>
      <c r="BR1450" t="s">
        <v>82</v>
      </c>
      <c r="BS1450" s="3">
        <v>46002</v>
      </c>
      <c r="BT1450" s="4">
        <v>0.57361111111111107</v>
      </c>
      <c r="BU1450" t="s">
        <v>2139</v>
      </c>
      <c r="BV1450" t="s">
        <v>87</v>
      </c>
      <c r="BY1450">
        <v>9576</v>
      </c>
      <c r="CC1450" t="s">
        <v>190</v>
      </c>
      <c r="CD1450">
        <v>3212</v>
      </c>
      <c r="CE1450" t="s">
        <v>86</v>
      </c>
      <c r="CI1450">
        <v>2</v>
      </c>
      <c r="CJ1450">
        <v>1</v>
      </c>
      <c r="CK1450">
        <v>21</v>
      </c>
      <c r="CL1450" t="s">
        <v>87</v>
      </c>
    </row>
    <row r="1451" spans="1:90" x14ac:dyDescent="0.3">
      <c r="A1451" t="s">
        <v>72</v>
      </c>
      <c r="B1451" t="s">
        <v>73</v>
      </c>
      <c r="C1451" t="s">
        <v>74</v>
      </c>
      <c r="E1451" t="str">
        <f>"080069824185"</f>
        <v>080069824185</v>
      </c>
      <c r="F1451" s="3">
        <v>46001</v>
      </c>
      <c r="G1451">
        <v>202609</v>
      </c>
      <c r="H1451" t="s">
        <v>75</v>
      </c>
      <c r="I1451" t="s">
        <v>76</v>
      </c>
      <c r="J1451" t="s">
        <v>77</v>
      </c>
      <c r="K1451" t="s">
        <v>78</v>
      </c>
      <c r="L1451" t="s">
        <v>100</v>
      </c>
      <c r="M1451" t="s">
        <v>101</v>
      </c>
      <c r="N1451" t="s">
        <v>1879</v>
      </c>
      <c r="O1451" t="s">
        <v>89</v>
      </c>
      <c r="P1451" t="str">
        <f>"009943879297                  "</f>
        <v xml:space="preserve">009943879297                  </v>
      </c>
      <c r="Q1451">
        <v>0</v>
      </c>
      <c r="R1451">
        <v>0</v>
      </c>
      <c r="S1451">
        <v>0</v>
      </c>
      <c r="T1451">
        <v>0</v>
      </c>
      <c r="U1451">
        <v>0</v>
      </c>
      <c r="V1451">
        <v>0</v>
      </c>
      <c r="W1451">
        <v>0</v>
      </c>
      <c r="X1451">
        <v>0</v>
      </c>
      <c r="Y1451">
        <v>0</v>
      </c>
      <c r="Z1451">
        <v>0</v>
      </c>
      <c r="AA1451">
        <v>0</v>
      </c>
      <c r="AB1451">
        <v>0</v>
      </c>
      <c r="AC1451">
        <v>0</v>
      </c>
      <c r="AD1451">
        <v>0</v>
      </c>
      <c r="AE1451">
        <v>0</v>
      </c>
      <c r="AF1451">
        <v>0</v>
      </c>
      <c r="AG1451">
        <v>0</v>
      </c>
      <c r="AH1451">
        <v>0</v>
      </c>
      <c r="AI1451">
        <v>0</v>
      </c>
      <c r="AJ1451">
        <v>0</v>
      </c>
      <c r="AK1451">
        <v>0</v>
      </c>
      <c r="AL1451">
        <v>0</v>
      </c>
      <c r="AM1451">
        <v>0</v>
      </c>
      <c r="AN1451">
        <v>0</v>
      </c>
      <c r="AO1451">
        <v>0</v>
      </c>
      <c r="AP1451">
        <v>0</v>
      </c>
      <c r="AQ1451">
        <v>25.52</v>
      </c>
      <c r="AR1451">
        <v>0</v>
      </c>
      <c r="AS1451">
        <v>0</v>
      </c>
      <c r="AT1451">
        <v>0</v>
      </c>
      <c r="AU1451">
        <v>0</v>
      </c>
      <c r="AV1451">
        <v>0</v>
      </c>
      <c r="AW1451">
        <v>0</v>
      </c>
      <c r="AX1451">
        <v>0</v>
      </c>
      <c r="AY1451">
        <v>0</v>
      </c>
      <c r="AZ1451">
        <v>0</v>
      </c>
      <c r="BA1451">
        <v>0</v>
      </c>
      <c r="BB1451">
        <v>0</v>
      </c>
      <c r="BC1451">
        <v>0</v>
      </c>
      <c r="BD1451">
        <v>0</v>
      </c>
      <c r="BE1451">
        <v>0</v>
      </c>
      <c r="BF1451">
        <v>0</v>
      </c>
      <c r="BG1451">
        <v>0</v>
      </c>
      <c r="BH1451">
        <v>1</v>
      </c>
      <c r="BI1451">
        <v>1</v>
      </c>
      <c r="BJ1451">
        <v>0.2</v>
      </c>
      <c r="BK1451">
        <v>1</v>
      </c>
      <c r="BL1451">
        <v>76.06</v>
      </c>
      <c r="BM1451">
        <v>11.41</v>
      </c>
      <c r="BN1451">
        <v>87.47</v>
      </c>
      <c r="BO1451">
        <v>87.47</v>
      </c>
      <c r="BQ1451" t="s">
        <v>1880</v>
      </c>
      <c r="BR1451" t="s">
        <v>82</v>
      </c>
      <c r="BS1451" s="3">
        <v>46002</v>
      </c>
      <c r="BT1451" s="4">
        <v>0.35972222222222222</v>
      </c>
      <c r="BU1451" t="s">
        <v>1786</v>
      </c>
      <c r="BV1451" t="s">
        <v>84</v>
      </c>
      <c r="BY1451">
        <v>1200</v>
      </c>
      <c r="CA1451" t="s">
        <v>1070</v>
      </c>
      <c r="CC1451" t="s">
        <v>101</v>
      </c>
      <c r="CD1451">
        <v>4001</v>
      </c>
      <c r="CE1451" t="s">
        <v>134</v>
      </c>
      <c r="CF1451" s="3">
        <v>46002</v>
      </c>
      <c r="CI1451">
        <v>1</v>
      </c>
      <c r="CJ1451">
        <v>1</v>
      </c>
      <c r="CK1451">
        <v>21</v>
      </c>
      <c r="CL1451" t="s">
        <v>87</v>
      </c>
    </row>
    <row r="1452" spans="1:90" x14ac:dyDescent="0.3">
      <c r="A1452" t="s">
        <v>72</v>
      </c>
      <c r="B1452" t="s">
        <v>73</v>
      </c>
      <c r="C1452" t="s">
        <v>74</v>
      </c>
      <c r="E1452" t="str">
        <f>"080069824283"</f>
        <v>080069824283</v>
      </c>
      <c r="F1452" s="3">
        <v>46001</v>
      </c>
      <c r="G1452">
        <v>202609</v>
      </c>
      <c r="H1452" t="s">
        <v>75</v>
      </c>
      <c r="I1452" t="s">
        <v>76</v>
      </c>
      <c r="J1452" t="s">
        <v>77</v>
      </c>
      <c r="K1452" t="s">
        <v>78</v>
      </c>
      <c r="L1452" t="s">
        <v>302</v>
      </c>
      <c r="M1452" t="s">
        <v>303</v>
      </c>
      <c r="N1452" t="s">
        <v>425</v>
      </c>
      <c r="O1452" t="s">
        <v>89</v>
      </c>
      <c r="P1452" t="str">
        <f>"4170072914                    "</f>
        <v xml:space="preserve">4170072914                    </v>
      </c>
      <c r="Q1452">
        <v>0</v>
      </c>
      <c r="R1452">
        <v>0</v>
      </c>
      <c r="S1452">
        <v>0</v>
      </c>
      <c r="T1452">
        <v>0</v>
      </c>
      <c r="U1452">
        <v>0</v>
      </c>
      <c r="V1452">
        <v>0</v>
      </c>
      <c r="W1452">
        <v>0</v>
      </c>
      <c r="X1452">
        <v>0</v>
      </c>
      <c r="Y1452">
        <v>0</v>
      </c>
      <c r="Z1452">
        <v>0</v>
      </c>
      <c r="AA1452">
        <v>0</v>
      </c>
      <c r="AB1452">
        <v>0</v>
      </c>
      <c r="AC1452">
        <v>0</v>
      </c>
      <c r="AD1452">
        <v>0</v>
      </c>
      <c r="AE1452">
        <v>0</v>
      </c>
      <c r="AF1452">
        <v>0</v>
      </c>
      <c r="AG1452">
        <v>0</v>
      </c>
      <c r="AH1452">
        <v>0</v>
      </c>
      <c r="AI1452">
        <v>0</v>
      </c>
      <c r="AJ1452">
        <v>0</v>
      </c>
      <c r="AK1452">
        <v>0</v>
      </c>
      <c r="AL1452">
        <v>0</v>
      </c>
      <c r="AM1452">
        <v>0</v>
      </c>
      <c r="AN1452">
        <v>0</v>
      </c>
      <c r="AO1452">
        <v>0</v>
      </c>
      <c r="AP1452">
        <v>0</v>
      </c>
      <c r="AQ1452">
        <v>25.52</v>
      </c>
      <c r="AR1452">
        <v>0</v>
      </c>
      <c r="AS1452">
        <v>0</v>
      </c>
      <c r="AT1452">
        <v>0</v>
      </c>
      <c r="AU1452">
        <v>0</v>
      </c>
      <c r="AV1452">
        <v>0</v>
      </c>
      <c r="AW1452">
        <v>0</v>
      </c>
      <c r="AX1452">
        <v>0</v>
      </c>
      <c r="AY1452">
        <v>0</v>
      </c>
      <c r="AZ1452">
        <v>0</v>
      </c>
      <c r="BA1452">
        <v>0</v>
      </c>
      <c r="BB1452">
        <v>0</v>
      </c>
      <c r="BC1452">
        <v>0</v>
      </c>
      <c r="BD1452">
        <v>0</v>
      </c>
      <c r="BE1452">
        <v>0</v>
      </c>
      <c r="BF1452">
        <v>0</v>
      </c>
      <c r="BG1452">
        <v>0</v>
      </c>
      <c r="BH1452">
        <v>1</v>
      </c>
      <c r="BI1452">
        <v>1</v>
      </c>
      <c r="BJ1452">
        <v>0.2</v>
      </c>
      <c r="BK1452">
        <v>1</v>
      </c>
      <c r="BL1452">
        <v>76.06</v>
      </c>
      <c r="BM1452">
        <v>11.41</v>
      </c>
      <c r="BN1452">
        <v>87.47</v>
      </c>
      <c r="BO1452">
        <v>87.47</v>
      </c>
      <c r="BQ1452" t="s">
        <v>426</v>
      </c>
      <c r="BR1452" t="s">
        <v>82</v>
      </c>
      <c r="BS1452" s="3">
        <v>46002</v>
      </c>
      <c r="BT1452" s="4">
        <v>0.36666666666666664</v>
      </c>
      <c r="BU1452" t="s">
        <v>524</v>
      </c>
      <c r="BV1452" t="s">
        <v>84</v>
      </c>
      <c r="BY1452">
        <v>1200</v>
      </c>
      <c r="CA1452">
        <v>7712195338085</v>
      </c>
      <c r="CC1452" t="s">
        <v>303</v>
      </c>
      <c r="CD1452" s="5" t="s">
        <v>350</v>
      </c>
      <c r="CE1452" t="s">
        <v>134</v>
      </c>
      <c r="CF1452" s="3">
        <v>46002</v>
      </c>
      <c r="CI1452">
        <v>1</v>
      </c>
      <c r="CJ1452">
        <v>1</v>
      </c>
      <c r="CK1452">
        <v>21</v>
      </c>
      <c r="CL1452" t="s">
        <v>87</v>
      </c>
    </row>
    <row r="1453" spans="1:90" x14ac:dyDescent="0.3">
      <c r="A1453" t="s">
        <v>72</v>
      </c>
      <c r="B1453" t="s">
        <v>73</v>
      </c>
      <c r="C1453" t="s">
        <v>74</v>
      </c>
      <c r="E1453" t="str">
        <f>"080069824319"</f>
        <v>080069824319</v>
      </c>
      <c r="F1453" s="3">
        <v>46001</v>
      </c>
      <c r="G1453">
        <v>202609</v>
      </c>
      <c r="H1453" t="s">
        <v>75</v>
      </c>
      <c r="I1453" t="s">
        <v>76</v>
      </c>
      <c r="J1453" t="s">
        <v>77</v>
      </c>
      <c r="K1453" t="s">
        <v>78</v>
      </c>
      <c r="L1453" t="s">
        <v>100</v>
      </c>
      <c r="M1453" t="s">
        <v>101</v>
      </c>
      <c r="N1453" t="s">
        <v>102</v>
      </c>
      <c r="O1453" t="s">
        <v>89</v>
      </c>
      <c r="P1453" t="str">
        <f>"4170072911                    "</f>
        <v xml:space="preserve">4170072911                    </v>
      </c>
      <c r="Q1453">
        <v>0</v>
      </c>
      <c r="R1453">
        <v>0</v>
      </c>
      <c r="S1453">
        <v>0</v>
      </c>
      <c r="T1453">
        <v>0</v>
      </c>
      <c r="U1453">
        <v>0</v>
      </c>
      <c r="V1453">
        <v>0</v>
      </c>
      <c r="W1453">
        <v>0</v>
      </c>
      <c r="X1453">
        <v>0</v>
      </c>
      <c r="Y1453">
        <v>0</v>
      </c>
      <c r="Z1453">
        <v>0</v>
      </c>
      <c r="AA1453">
        <v>0</v>
      </c>
      <c r="AB1453">
        <v>0</v>
      </c>
      <c r="AC1453">
        <v>0</v>
      </c>
      <c r="AD1453">
        <v>0</v>
      </c>
      <c r="AE1453">
        <v>0</v>
      </c>
      <c r="AF1453">
        <v>0</v>
      </c>
      <c r="AG1453">
        <v>0</v>
      </c>
      <c r="AH1453">
        <v>0</v>
      </c>
      <c r="AI1453">
        <v>0</v>
      </c>
      <c r="AJ1453">
        <v>0</v>
      </c>
      <c r="AK1453">
        <v>0</v>
      </c>
      <c r="AL1453">
        <v>0</v>
      </c>
      <c r="AM1453">
        <v>0</v>
      </c>
      <c r="AN1453">
        <v>0</v>
      </c>
      <c r="AO1453">
        <v>0</v>
      </c>
      <c r="AP1453">
        <v>0</v>
      </c>
      <c r="AQ1453">
        <v>25.52</v>
      </c>
      <c r="AR1453">
        <v>0</v>
      </c>
      <c r="AS1453">
        <v>0</v>
      </c>
      <c r="AT1453">
        <v>0</v>
      </c>
      <c r="AU1453">
        <v>0</v>
      </c>
      <c r="AV1453">
        <v>0</v>
      </c>
      <c r="AW1453">
        <v>0</v>
      </c>
      <c r="AX1453">
        <v>0</v>
      </c>
      <c r="AY1453">
        <v>0</v>
      </c>
      <c r="AZ1453">
        <v>0</v>
      </c>
      <c r="BA1453">
        <v>0</v>
      </c>
      <c r="BB1453">
        <v>0</v>
      </c>
      <c r="BC1453">
        <v>0</v>
      </c>
      <c r="BD1453">
        <v>0</v>
      </c>
      <c r="BE1453">
        <v>0</v>
      </c>
      <c r="BF1453">
        <v>0</v>
      </c>
      <c r="BG1453">
        <v>0</v>
      </c>
      <c r="BH1453">
        <v>1</v>
      </c>
      <c r="BI1453">
        <v>1</v>
      </c>
      <c r="BJ1453">
        <v>0.2</v>
      </c>
      <c r="BK1453">
        <v>1</v>
      </c>
      <c r="BL1453">
        <v>76.06</v>
      </c>
      <c r="BM1453">
        <v>11.41</v>
      </c>
      <c r="BN1453">
        <v>87.47</v>
      </c>
      <c r="BO1453">
        <v>87.47</v>
      </c>
      <c r="BQ1453" t="s">
        <v>103</v>
      </c>
      <c r="BR1453" t="s">
        <v>82</v>
      </c>
      <c r="BS1453" s="3">
        <v>46002</v>
      </c>
      <c r="BT1453" s="4">
        <v>0.34652777777777777</v>
      </c>
      <c r="BU1453" t="s">
        <v>2018</v>
      </c>
      <c r="BV1453" t="s">
        <v>84</v>
      </c>
      <c r="BY1453">
        <v>1200</v>
      </c>
      <c r="CA1453" t="s">
        <v>107</v>
      </c>
      <c r="CC1453" t="s">
        <v>101</v>
      </c>
      <c r="CD1453">
        <v>4051</v>
      </c>
      <c r="CE1453" t="s">
        <v>134</v>
      </c>
      <c r="CF1453" s="3">
        <v>46002</v>
      </c>
      <c r="CI1453">
        <v>1</v>
      </c>
      <c r="CJ1453">
        <v>1</v>
      </c>
      <c r="CK1453">
        <v>21</v>
      </c>
      <c r="CL1453" t="s">
        <v>87</v>
      </c>
    </row>
    <row r="1454" spans="1:90" x14ac:dyDescent="0.3">
      <c r="A1454" t="s">
        <v>72</v>
      </c>
      <c r="B1454" t="s">
        <v>73</v>
      </c>
      <c r="C1454" t="s">
        <v>74</v>
      </c>
      <c r="E1454" t="str">
        <f>"080069824340"</f>
        <v>080069824340</v>
      </c>
      <c r="F1454" s="3">
        <v>46001</v>
      </c>
      <c r="G1454">
        <v>202609</v>
      </c>
      <c r="H1454" t="s">
        <v>75</v>
      </c>
      <c r="I1454" t="s">
        <v>76</v>
      </c>
      <c r="J1454" t="s">
        <v>77</v>
      </c>
      <c r="K1454" t="s">
        <v>78</v>
      </c>
      <c r="L1454" t="s">
        <v>128</v>
      </c>
      <c r="M1454" t="s">
        <v>129</v>
      </c>
      <c r="N1454" t="s">
        <v>2140</v>
      </c>
      <c r="O1454" t="s">
        <v>89</v>
      </c>
      <c r="P1454" t="str">
        <f>"4170072963                    "</f>
        <v xml:space="preserve">4170072963                    </v>
      </c>
      <c r="Q1454">
        <v>0</v>
      </c>
      <c r="R1454">
        <v>0</v>
      </c>
      <c r="S1454">
        <v>0</v>
      </c>
      <c r="T1454">
        <v>0</v>
      </c>
      <c r="U1454">
        <v>0</v>
      </c>
      <c r="V1454">
        <v>0</v>
      </c>
      <c r="W1454">
        <v>0</v>
      </c>
      <c r="X1454">
        <v>0</v>
      </c>
      <c r="Y1454">
        <v>0</v>
      </c>
      <c r="Z1454">
        <v>0</v>
      </c>
      <c r="AA1454">
        <v>0</v>
      </c>
      <c r="AB1454">
        <v>0</v>
      </c>
      <c r="AC1454">
        <v>0</v>
      </c>
      <c r="AD1454">
        <v>0</v>
      </c>
      <c r="AE1454">
        <v>0</v>
      </c>
      <c r="AF1454">
        <v>0</v>
      </c>
      <c r="AG1454">
        <v>0</v>
      </c>
      <c r="AH1454">
        <v>0</v>
      </c>
      <c r="AI1454">
        <v>0</v>
      </c>
      <c r="AJ1454">
        <v>0</v>
      </c>
      <c r="AK1454">
        <v>0</v>
      </c>
      <c r="AL1454">
        <v>0</v>
      </c>
      <c r="AM1454">
        <v>0</v>
      </c>
      <c r="AN1454">
        <v>0</v>
      </c>
      <c r="AO1454">
        <v>0</v>
      </c>
      <c r="AP1454">
        <v>0</v>
      </c>
      <c r="AQ1454">
        <v>38.28</v>
      </c>
      <c r="AR1454">
        <v>0</v>
      </c>
      <c r="AS1454">
        <v>0</v>
      </c>
      <c r="AT1454">
        <v>0</v>
      </c>
      <c r="AU1454">
        <v>0</v>
      </c>
      <c r="AV1454">
        <v>0</v>
      </c>
      <c r="AW1454">
        <v>0</v>
      </c>
      <c r="AX1454">
        <v>0</v>
      </c>
      <c r="AY1454">
        <v>0</v>
      </c>
      <c r="AZ1454">
        <v>0</v>
      </c>
      <c r="BA1454">
        <v>0</v>
      </c>
      <c r="BB1454">
        <v>0</v>
      </c>
      <c r="BC1454">
        <v>0</v>
      </c>
      <c r="BD1454">
        <v>0</v>
      </c>
      <c r="BE1454">
        <v>0</v>
      </c>
      <c r="BF1454">
        <v>0</v>
      </c>
      <c r="BG1454">
        <v>0</v>
      </c>
      <c r="BH1454">
        <v>1</v>
      </c>
      <c r="BI1454">
        <v>3</v>
      </c>
      <c r="BJ1454">
        <v>2</v>
      </c>
      <c r="BK1454">
        <v>3</v>
      </c>
      <c r="BL1454">
        <v>114.08</v>
      </c>
      <c r="BM1454">
        <v>17.11</v>
      </c>
      <c r="BN1454">
        <v>131.19</v>
      </c>
      <c r="BO1454">
        <v>131.19</v>
      </c>
      <c r="BQ1454" t="s">
        <v>2141</v>
      </c>
      <c r="BR1454" t="s">
        <v>82</v>
      </c>
      <c r="BS1454" s="3">
        <v>46002</v>
      </c>
      <c r="BT1454" s="4">
        <v>0.39583333333333331</v>
      </c>
      <c r="BU1454" t="s">
        <v>2142</v>
      </c>
      <c r="BV1454" t="s">
        <v>84</v>
      </c>
      <c r="BY1454">
        <v>9900</v>
      </c>
      <c r="CC1454" t="s">
        <v>129</v>
      </c>
      <c r="CD1454">
        <v>5201</v>
      </c>
      <c r="CE1454" t="s">
        <v>86</v>
      </c>
      <c r="CF1454" s="3">
        <v>46002</v>
      </c>
      <c r="CI1454">
        <v>1</v>
      </c>
      <c r="CJ1454">
        <v>1</v>
      </c>
      <c r="CK1454">
        <v>21</v>
      </c>
      <c r="CL1454" t="s">
        <v>87</v>
      </c>
    </row>
    <row r="1455" spans="1:90" x14ac:dyDescent="0.3">
      <c r="A1455" t="s">
        <v>72</v>
      </c>
      <c r="B1455" t="s">
        <v>73</v>
      </c>
      <c r="C1455" t="s">
        <v>74</v>
      </c>
      <c r="E1455" t="str">
        <f>"080069824354"</f>
        <v>080069824354</v>
      </c>
      <c r="F1455" s="3">
        <v>46001</v>
      </c>
      <c r="G1455">
        <v>202609</v>
      </c>
      <c r="H1455" t="s">
        <v>75</v>
      </c>
      <c r="I1455" t="s">
        <v>76</v>
      </c>
      <c r="J1455" t="s">
        <v>77</v>
      </c>
      <c r="K1455" t="s">
        <v>78</v>
      </c>
      <c r="L1455" t="s">
        <v>302</v>
      </c>
      <c r="M1455" t="s">
        <v>303</v>
      </c>
      <c r="N1455" t="s">
        <v>425</v>
      </c>
      <c r="O1455" t="s">
        <v>89</v>
      </c>
      <c r="P1455" t="str">
        <f>"4170072917                    "</f>
        <v xml:space="preserve">4170072917                    </v>
      </c>
      <c r="Q1455">
        <v>0</v>
      </c>
      <c r="R1455">
        <v>0</v>
      </c>
      <c r="S1455">
        <v>0</v>
      </c>
      <c r="T1455">
        <v>0</v>
      </c>
      <c r="U1455">
        <v>0</v>
      </c>
      <c r="V1455">
        <v>0</v>
      </c>
      <c r="W1455">
        <v>0</v>
      </c>
      <c r="X1455">
        <v>0</v>
      </c>
      <c r="Y1455">
        <v>0</v>
      </c>
      <c r="Z1455">
        <v>0</v>
      </c>
      <c r="AA1455">
        <v>0</v>
      </c>
      <c r="AB1455">
        <v>0</v>
      </c>
      <c r="AC1455">
        <v>0</v>
      </c>
      <c r="AD1455">
        <v>0</v>
      </c>
      <c r="AE1455">
        <v>0</v>
      </c>
      <c r="AF1455">
        <v>0</v>
      </c>
      <c r="AG1455">
        <v>0</v>
      </c>
      <c r="AH1455">
        <v>0</v>
      </c>
      <c r="AI1455">
        <v>0</v>
      </c>
      <c r="AJ1455">
        <v>0</v>
      </c>
      <c r="AK1455">
        <v>0</v>
      </c>
      <c r="AL1455">
        <v>0</v>
      </c>
      <c r="AM1455">
        <v>0</v>
      </c>
      <c r="AN1455">
        <v>0</v>
      </c>
      <c r="AO1455">
        <v>0</v>
      </c>
      <c r="AP1455">
        <v>0</v>
      </c>
      <c r="AQ1455">
        <v>25.52</v>
      </c>
      <c r="AR1455">
        <v>0</v>
      </c>
      <c r="AS1455">
        <v>0</v>
      </c>
      <c r="AT1455">
        <v>0</v>
      </c>
      <c r="AU1455">
        <v>0</v>
      </c>
      <c r="AV1455">
        <v>0</v>
      </c>
      <c r="AW1455">
        <v>0</v>
      </c>
      <c r="AX1455">
        <v>0</v>
      </c>
      <c r="AY1455">
        <v>0</v>
      </c>
      <c r="AZ1455">
        <v>0</v>
      </c>
      <c r="BA1455">
        <v>0</v>
      </c>
      <c r="BB1455">
        <v>0</v>
      </c>
      <c r="BC1455">
        <v>0</v>
      </c>
      <c r="BD1455">
        <v>0</v>
      </c>
      <c r="BE1455">
        <v>0</v>
      </c>
      <c r="BF1455">
        <v>0</v>
      </c>
      <c r="BG1455">
        <v>0</v>
      </c>
      <c r="BH1455">
        <v>1</v>
      </c>
      <c r="BI1455">
        <v>1</v>
      </c>
      <c r="BJ1455">
        <v>0.2</v>
      </c>
      <c r="BK1455">
        <v>1</v>
      </c>
      <c r="BL1455">
        <v>76.06</v>
      </c>
      <c r="BM1455">
        <v>11.41</v>
      </c>
      <c r="BN1455">
        <v>87.47</v>
      </c>
      <c r="BO1455">
        <v>87.47</v>
      </c>
      <c r="BQ1455" t="s">
        <v>426</v>
      </c>
      <c r="BR1455" t="s">
        <v>82</v>
      </c>
      <c r="BS1455" s="3">
        <v>46002</v>
      </c>
      <c r="BT1455" s="4">
        <v>0.3659722222222222</v>
      </c>
      <c r="BU1455" t="s">
        <v>524</v>
      </c>
      <c r="BV1455" t="s">
        <v>84</v>
      </c>
      <c r="BY1455">
        <v>1200</v>
      </c>
      <c r="CA1455">
        <v>7712195338085</v>
      </c>
      <c r="CC1455" t="s">
        <v>303</v>
      </c>
      <c r="CD1455" s="5" t="s">
        <v>350</v>
      </c>
      <c r="CE1455" t="s">
        <v>134</v>
      </c>
      <c r="CF1455" s="3">
        <v>46002</v>
      </c>
      <c r="CI1455">
        <v>1</v>
      </c>
      <c r="CJ1455">
        <v>1</v>
      </c>
      <c r="CK1455">
        <v>21</v>
      </c>
      <c r="CL1455" t="s">
        <v>87</v>
      </c>
    </row>
    <row r="1456" spans="1:90" x14ac:dyDescent="0.3">
      <c r="A1456" t="s">
        <v>72</v>
      </c>
      <c r="B1456" t="s">
        <v>73</v>
      </c>
      <c r="C1456" t="s">
        <v>74</v>
      </c>
      <c r="E1456" t="str">
        <f>"080069824425"</f>
        <v>080069824425</v>
      </c>
      <c r="F1456" s="3">
        <v>46001</v>
      </c>
      <c r="G1456">
        <v>202609</v>
      </c>
      <c r="H1456" t="s">
        <v>75</v>
      </c>
      <c r="I1456" t="s">
        <v>76</v>
      </c>
      <c r="J1456" t="s">
        <v>77</v>
      </c>
      <c r="K1456" t="s">
        <v>78</v>
      </c>
      <c r="L1456" t="s">
        <v>141</v>
      </c>
      <c r="M1456" t="s">
        <v>142</v>
      </c>
      <c r="N1456" t="s">
        <v>587</v>
      </c>
      <c r="O1456" t="s">
        <v>89</v>
      </c>
      <c r="P1456" t="str">
        <f>"4170072748                    "</f>
        <v xml:space="preserve">4170072748                    </v>
      </c>
      <c r="Q1456">
        <v>0</v>
      </c>
      <c r="R1456">
        <v>0</v>
      </c>
      <c r="S1456">
        <v>0</v>
      </c>
      <c r="T1456">
        <v>0</v>
      </c>
      <c r="U1456">
        <v>0</v>
      </c>
      <c r="V1456">
        <v>0</v>
      </c>
      <c r="W1456">
        <v>0</v>
      </c>
      <c r="X1456">
        <v>0</v>
      </c>
      <c r="Y1456">
        <v>0</v>
      </c>
      <c r="Z1456">
        <v>0</v>
      </c>
      <c r="AA1456">
        <v>0</v>
      </c>
      <c r="AB1456">
        <v>0</v>
      </c>
      <c r="AC1456">
        <v>0</v>
      </c>
      <c r="AD1456">
        <v>0</v>
      </c>
      <c r="AE1456">
        <v>0</v>
      </c>
      <c r="AF1456">
        <v>0</v>
      </c>
      <c r="AG1456">
        <v>0</v>
      </c>
      <c r="AH1456">
        <v>0</v>
      </c>
      <c r="AI1456">
        <v>0</v>
      </c>
      <c r="AJ1456">
        <v>0</v>
      </c>
      <c r="AK1456">
        <v>0</v>
      </c>
      <c r="AL1456">
        <v>0</v>
      </c>
      <c r="AM1456">
        <v>0</v>
      </c>
      <c r="AN1456">
        <v>0</v>
      </c>
      <c r="AO1456">
        <v>0</v>
      </c>
      <c r="AP1456">
        <v>0</v>
      </c>
      <c r="AQ1456">
        <v>216.87</v>
      </c>
      <c r="AR1456">
        <v>0</v>
      </c>
      <c r="AS1456">
        <v>0</v>
      </c>
      <c r="AT1456">
        <v>0</v>
      </c>
      <c r="AU1456">
        <v>0</v>
      </c>
      <c r="AV1456">
        <v>0</v>
      </c>
      <c r="AW1456">
        <v>0</v>
      </c>
      <c r="AX1456">
        <v>0</v>
      </c>
      <c r="AY1456">
        <v>0</v>
      </c>
      <c r="AZ1456">
        <v>0</v>
      </c>
      <c r="BA1456">
        <v>0</v>
      </c>
      <c r="BB1456">
        <v>0</v>
      </c>
      <c r="BC1456">
        <v>0</v>
      </c>
      <c r="BD1456">
        <v>0</v>
      </c>
      <c r="BE1456">
        <v>0</v>
      </c>
      <c r="BF1456">
        <v>0</v>
      </c>
      <c r="BG1456">
        <v>0</v>
      </c>
      <c r="BH1456">
        <v>1</v>
      </c>
      <c r="BI1456">
        <v>17</v>
      </c>
      <c r="BJ1456">
        <v>10.4</v>
      </c>
      <c r="BK1456">
        <v>17</v>
      </c>
      <c r="BL1456">
        <v>646.30999999999995</v>
      </c>
      <c r="BM1456">
        <v>96.95</v>
      </c>
      <c r="BN1456">
        <v>743.26</v>
      </c>
      <c r="BO1456">
        <v>743.26</v>
      </c>
      <c r="BQ1456" t="s">
        <v>588</v>
      </c>
      <c r="BR1456" t="s">
        <v>82</v>
      </c>
      <c r="BS1456" s="3">
        <v>46002</v>
      </c>
      <c r="BT1456" s="4">
        <v>0.4201388888888889</v>
      </c>
      <c r="BU1456" t="s">
        <v>589</v>
      </c>
      <c r="BV1456" t="s">
        <v>84</v>
      </c>
      <c r="BY1456">
        <v>51920</v>
      </c>
      <c r="CA1456" t="s">
        <v>571</v>
      </c>
      <c r="CC1456" t="s">
        <v>142</v>
      </c>
      <c r="CD1456">
        <v>6001</v>
      </c>
      <c r="CE1456" t="s">
        <v>93</v>
      </c>
      <c r="CF1456" s="3">
        <v>46002</v>
      </c>
      <c r="CI1456">
        <v>1</v>
      </c>
      <c r="CJ1456">
        <v>1</v>
      </c>
      <c r="CK1456">
        <v>21</v>
      </c>
      <c r="CL1456" t="s">
        <v>87</v>
      </c>
    </row>
    <row r="1457" spans="1:90" x14ac:dyDescent="0.3">
      <c r="A1457" t="s">
        <v>72</v>
      </c>
      <c r="B1457" t="s">
        <v>73</v>
      </c>
      <c r="C1457" t="s">
        <v>74</v>
      </c>
      <c r="E1457" t="str">
        <f>"080069824499"</f>
        <v>080069824499</v>
      </c>
      <c r="F1457" s="3">
        <v>46001</v>
      </c>
      <c r="G1457">
        <v>202609</v>
      </c>
      <c r="H1457" t="s">
        <v>75</v>
      </c>
      <c r="I1457" t="s">
        <v>76</v>
      </c>
      <c r="J1457" t="s">
        <v>77</v>
      </c>
      <c r="K1457" t="s">
        <v>78</v>
      </c>
      <c r="L1457" t="s">
        <v>265</v>
      </c>
      <c r="M1457" t="s">
        <v>266</v>
      </c>
      <c r="N1457" t="s">
        <v>474</v>
      </c>
      <c r="O1457" t="s">
        <v>340</v>
      </c>
      <c r="P1457" t="str">
        <f>"4170072912                    "</f>
        <v xml:space="preserve">4170072912                    </v>
      </c>
      <c r="Q1457">
        <v>0</v>
      </c>
      <c r="R1457">
        <v>0</v>
      </c>
      <c r="S1457">
        <v>0</v>
      </c>
      <c r="T1457">
        <v>0</v>
      </c>
      <c r="U1457">
        <v>0</v>
      </c>
      <c r="V1457">
        <v>0</v>
      </c>
      <c r="W1457">
        <v>0</v>
      </c>
      <c r="X1457">
        <v>0</v>
      </c>
      <c r="Y1457">
        <v>0</v>
      </c>
      <c r="Z1457">
        <v>0</v>
      </c>
      <c r="AA1457">
        <v>0</v>
      </c>
      <c r="AB1457">
        <v>0</v>
      </c>
      <c r="AC1457">
        <v>0</v>
      </c>
      <c r="AD1457">
        <v>0</v>
      </c>
      <c r="AE1457">
        <v>0</v>
      </c>
      <c r="AF1457">
        <v>0</v>
      </c>
      <c r="AG1457">
        <v>0</v>
      </c>
      <c r="AH1457">
        <v>0</v>
      </c>
      <c r="AI1457">
        <v>0</v>
      </c>
      <c r="AJ1457">
        <v>0</v>
      </c>
      <c r="AK1457">
        <v>0</v>
      </c>
      <c r="AL1457">
        <v>0</v>
      </c>
      <c r="AM1457">
        <v>0</v>
      </c>
      <c r="AN1457">
        <v>0</v>
      </c>
      <c r="AO1457">
        <v>0</v>
      </c>
      <c r="AP1457">
        <v>0</v>
      </c>
      <c r="AQ1457">
        <v>19.940000000000001</v>
      </c>
      <c r="AR1457">
        <v>0</v>
      </c>
      <c r="AS1457">
        <v>0</v>
      </c>
      <c r="AT1457">
        <v>0</v>
      </c>
      <c r="AU1457">
        <v>0</v>
      </c>
      <c r="AV1457">
        <v>0</v>
      </c>
      <c r="AW1457">
        <v>0</v>
      </c>
      <c r="AX1457">
        <v>0</v>
      </c>
      <c r="AY1457">
        <v>0</v>
      </c>
      <c r="AZ1457">
        <v>0</v>
      </c>
      <c r="BA1457">
        <v>0</v>
      </c>
      <c r="BB1457">
        <v>0</v>
      </c>
      <c r="BC1457">
        <v>0</v>
      </c>
      <c r="BD1457">
        <v>0</v>
      </c>
      <c r="BE1457">
        <v>0</v>
      </c>
      <c r="BF1457">
        <v>0</v>
      </c>
      <c r="BG1457">
        <v>0</v>
      </c>
      <c r="BH1457">
        <v>1</v>
      </c>
      <c r="BI1457">
        <v>3</v>
      </c>
      <c r="BJ1457">
        <v>2.9</v>
      </c>
      <c r="BK1457">
        <v>3</v>
      </c>
      <c r="BL1457">
        <v>59.43</v>
      </c>
      <c r="BM1457">
        <v>8.91</v>
      </c>
      <c r="BN1457">
        <v>68.34</v>
      </c>
      <c r="BO1457">
        <v>68.34</v>
      </c>
      <c r="BQ1457" t="s">
        <v>475</v>
      </c>
      <c r="BR1457" t="s">
        <v>82</v>
      </c>
      <c r="BS1457" s="3">
        <v>46002</v>
      </c>
      <c r="BT1457" s="4">
        <v>0.39930555555555558</v>
      </c>
      <c r="BU1457" t="s">
        <v>2143</v>
      </c>
      <c r="BV1457" t="s">
        <v>84</v>
      </c>
      <c r="BY1457">
        <v>14700</v>
      </c>
      <c r="CA1457" t="s">
        <v>417</v>
      </c>
      <c r="CC1457" t="s">
        <v>266</v>
      </c>
      <c r="CD1457">
        <v>1459</v>
      </c>
      <c r="CE1457" t="s">
        <v>93</v>
      </c>
      <c r="CF1457" s="3">
        <v>46003</v>
      </c>
      <c r="CI1457">
        <v>1</v>
      </c>
      <c r="CJ1457">
        <v>1</v>
      </c>
      <c r="CK1457">
        <v>32</v>
      </c>
      <c r="CL1457" t="s">
        <v>87</v>
      </c>
    </row>
    <row r="1458" spans="1:90" x14ac:dyDescent="0.3">
      <c r="A1458" t="s">
        <v>72</v>
      </c>
      <c r="B1458" t="s">
        <v>73</v>
      </c>
      <c r="C1458" t="s">
        <v>74</v>
      </c>
      <c r="E1458" t="str">
        <f>"080069824536"</f>
        <v>080069824536</v>
      </c>
      <c r="F1458" s="3">
        <v>46001</v>
      </c>
      <c r="G1458">
        <v>202609</v>
      </c>
      <c r="H1458" t="s">
        <v>75</v>
      </c>
      <c r="I1458" t="s">
        <v>76</v>
      </c>
      <c r="J1458" t="s">
        <v>77</v>
      </c>
      <c r="K1458" t="s">
        <v>78</v>
      </c>
      <c r="L1458" t="s">
        <v>75</v>
      </c>
      <c r="M1458" t="s">
        <v>76</v>
      </c>
      <c r="N1458" t="s">
        <v>79</v>
      </c>
      <c r="O1458" t="s">
        <v>89</v>
      </c>
      <c r="P1458" t="str">
        <f>"4170072905                    "</f>
        <v xml:space="preserve">4170072905                    </v>
      </c>
      <c r="Q1458">
        <v>0</v>
      </c>
      <c r="R1458">
        <v>0</v>
      </c>
      <c r="S1458">
        <v>0</v>
      </c>
      <c r="T1458">
        <v>0</v>
      </c>
      <c r="U1458">
        <v>0</v>
      </c>
      <c r="V1458">
        <v>0</v>
      </c>
      <c r="W1458">
        <v>0</v>
      </c>
      <c r="X1458">
        <v>0</v>
      </c>
      <c r="Y1458">
        <v>0</v>
      </c>
      <c r="Z1458">
        <v>0</v>
      </c>
      <c r="AA1458">
        <v>0</v>
      </c>
      <c r="AB1458">
        <v>0</v>
      </c>
      <c r="AC1458">
        <v>0</v>
      </c>
      <c r="AD1458">
        <v>0</v>
      </c>
      <c r="AE1458">
        <v>0</v>
      </c>
      <c r="AF1458">
        <v>0</v>
      </c>
      <c r="AG1458">
        <v>0</v>
      </c>
      <c r="AH1458">
        <v>0</v>
      </c>
      <c r="AI1458">
        <v>0</v>
      </c>
      <c r="AJ1458">
        <v>0</v>
      </c>
      <c r="AK1458">
        <v>0</v>
      </c>
      <c r="AL1458">
        <v>0</v>
      </c>
      <c r="AM1458">
        <v>0</v>
      </c>
      <c r="AN1458">
        <v>0</v>
      </c>
      <c r="AO1458">
        <v>0</v>
      </c>
      <c r="AP1458">
        <v>0</v>
      </c>
      <c r="AQ1458">
        <v>19.940000000000001</v>
      </c>
      <c r="AR1458">
        <v>0</v>
      </c>
      <c r="AS1458">
        <v>0</v>
      </c>
      <c r="AT1458">
        <v>0</v>
      </c>
      <c r="AU1458">
        <v>0</v>
      </c>
      <c r="AV1458">
        <v>0</v>
      </c>
      <c r="AW1458">
        <v>0</v>
      </c>
      <c r="AX1458">
        <v>0</v>
      </c>
      <c r="AY1458">
        <v>0</v>
      </c>
      <c r="AZ1458">
        <v>0</v>
      </c>
      <c r="BA1458">
        <v>0</v>
      </c>
      <c r="BB1458">
        <v>0</v>
      </c>
      <c r="BC1458">
        <v>0</v>
      </c>
      <c r="BD1458">
        <v>0</v>
      </c>
      <c r="BE1458">
        <v>0</v>
      </c>
      <c r="BF1458">
        <v>0</v>
      </c>
      <c r="BG1458">
        <v>0</v>
      </c>
      <c r="BH1458">
        <v>1</v>
      </c>
      <c r="BI1458">
        <v>1</v>
      </c>
      <c r="BJ1458">
        <v>0.9</v>
      </c>
      <c r="BK1458">
        <v>1</v>
      </c>
      <c r="BL1458">
        <v>59.42</v>
      </c>
      <c r="BM1458">
        <v>8.91</v>
      </c>
      <c r="BN1458">
        <v>68.33</v>
      </c>
      <c r="BO1458">
        <v>68.33</v>
      </c>
      <c r="BQ1458" t="s">
        <v>81</v>
      </c>
      <c r="BR1458" t="s">
        <v>82</v>
      </c>
      <c r="BS1458" s="3">
        <v>46002</v>
      </c>
      <c r="BT1458" s="4">
        <v>0.41944444444444445</v>
      </c>
      <c r="BU1458" t="s">
        <v>83</v>
      </c>
      <c r="BV1458" t="s">
        <v>84</v>
      </c>
      <c r="BY1458">
        <v>4275</v>
      </c>
      <c r="CA1458" t="s">
        <v>85</v>
      </c>
      <c r="CC1458" t="s">
        <v>76</v>
      </c>
      <c r="CD1458">
        <v>1619</v>
      </c>
      <c r="CE1458" t="s">
        <v>86</v>
      </c>
      <c r="CF1458" s="3">
        <v>46003</v>
      </c>
      <c r="CI1458">
        <v>1</v>
      </c>
      <c r="CJ1458">
        <v>1</v>
      </c>
      <c r="CK1458">
        <v>22</v>
      </c>
      <c r="CL1458" t="s">
        <v>87</v>
      </c>
    </row>
    <row r="1459" spans="1:90" x14ac:dyDescent="0.3">
      <c r="A1459" t="s">
        <v>72</v>
      </c>
      <c r="B1459" t="s">
        <v>73</v>
      </c>
      <c r="C1459" t="s">
        <v>74</v>
      </c>
      <c r="E1459" t="str">
        <f>"080069824535"</f>
        <v>080069824535</v>
      </c>
      <c r="F1459" s="3">
        <v>46001</v>
      </c>
      <c r="G1459">
        <v>202609</v>
      </c>
      <c r="H1459" t="s">
        <v>75</v>
      </c>
      <c r="I1459" t="s">
        <v>76</v>
      </c>
      <c r="J1459" t="s">
        <v>77</v>
      </c>
      <c r="K1459" t="s">
        <v>78</v>
      </c>
      <c r="L1459" t="s">
        <v>75</v>
      </c>
      <c r="M1459" t="s">
        <v>76</v>
      </c>
      <c r="N1459" t="s">
        <v>2144</v>
      </c>
      <c r="O1459" t="s">
        <v>80</v>
      </c>
      <c r="P1459" t="str">
        <f>"4170072907                    "</f>
        <v xml:space="preserve">4170072907                    </v>
      </c>
      <c r="Q1459">
        <v>0</v>
      </c>
      <c r="R1459">
        <v>0</v>
      </c>
      <c r="S1459">
        <v>0</v>
      </c>
      <c r="T1459">
        <v>0</v>
      </c>
      <c r="U1459">
        <v>0</v>
      </c>
      <c r="V1459">
        <v>0</v>
      </c>
      <c r="W1459">
        <v>0</v>
      </c>
      <c r="X1459">
        <v>0</v>
      </c>
      <c r="Y1459">
        <v>0</v>
      </c>
      <c r="Z1459">
        <v>0</v>
      </c>
      <c r="AA1459">
        <v>0</v>
      </c>
      <c r="AB1459">
        <v>0</v>
      </c>
      <c r="AC1459">
        <v>0</v>
      </c>
      <c r="AD1459">
        <v>0</v>
      </c>
      <c r="AE1459">
        <v>0</v>
      </c>
      <c r="AF1459">
        <v>0</v>
      </c>
      <c r="AG1459">
        <v>0</v>
      </c>
      <c r="AH1459">
        <v>0</v>
      </c>
      <c r="AI1459">
        <v>0</v>
      </c>
      <c r="AJ1459">
        <v>0</v>
      </c>
      <c r="AK1459">
        <v>0</v>
      </c>
      <c r="AL1459">
        <v>0</v>
      </c>
      <c r="AM1459">
        <v>0</v>
      </c>
      <c r="AN1459">
        <v>0</v>
      </c>
      <c r="AO1459">
        <v>0</v>
      </c>
      <c r="AP1459">
        <v>0</v>
      </c>
      <c r="AQ1459">
        <v>41.42</v>
      </c>
      <c r="AR1459">
        <v>0</v>
      </c>
      <c r="AS1459">
        <v>0</v>
      </c>
      <c r="AT1459">
        <v>0</v>
      </c>
      <c r="AU1459">
        <v>0</v>
      </c>
      <c r="AV1459">
        <v>0</v>
      </c>
      <c r="AW1459">
        <v>0</v>
      </c>
      <c r="AX1459">
        <v>0</v>
      </c>
      <c r="AY1459">
        <v>0</v>
      </c>
      <c r="AZ1459">
        <v>0</v>
      </c>
      <c r="BA1459">
        <v>0</v>
      </c>
      <c r="BB1459">
        <v>0</v>
      </c>
      <c r="BC1459">
        <v>0</v>
      </c>
      <c r="BD1459">
        <v>0</v>
      </c>
      <c r="BE1459">
        <v>0</v>
      </c>
      <c r="BF1459">
        <v>0</v>
      </c>
      <c r="BG1459">
        <v>0</v>
      </c>
      <c r="BH1459">
        <v>2</v>
      </c>
      <c r="BI1459">
        <v>18</v>
      </c>
      <c r="BJ1459">
        <v>4.7</v>
      </c>
      <c r="BK1459">
        <v>18</v>
      </c>
      <c r="BL1459">
        <v>129.54</v>
      </c>
      <c r="BM1459">
        <v>19.43</v>
      </c>
      <c r="BN1459">
        <v>148.97</v>
      </c>
      <c r="BO1459">
        <v>148.97</v>
      </c>
      <c r="BQ1459" t="s">
        <v>2145</v>
      </c>
      <c r="BR1459" t="s">
        <v>82</v>
      </c>
      <c r="BS1459" s="3">
        <v>46002</v>
      </c>
      <c r="BT1459" s="4">
        <v>0.43333333333333335</v>
      </c>
      <c r="BU1459" t="s">
        <v>2064</v>
      </c>
      <c r="BV1459" t="s">
        <v>84</v>
      </c>
      <c r="BY1459">
        <v>23444</v>
      </c>
      <c r="CA1459" t="s">
        <v>606</v>
      </c>
      <c r="CC1459" t="s">
        <v>76</v>
      </c>
      <c r="CD1459">
        <v>1601</v>
      </c>
      <c r="CE1459" t="s">
        <v>93</v>
      </c>
      <c r="CF1459" s="3">
        <v>46003</v>
      </c>
      <c r="CI1459">
        <v>1</v>
      </c>
      <c r="CJ1459">
        <v>1</v>
      </c>
      <c r="CK1459">
        <v>42</v>
      </c>
      <c r="CL1459" t="s">
        <v>87</v>
      </c>
    </row>
    <row r="1460" spans="1:90" x14ac:dyDescent="0.3">
      <c r="A1460" t="s">
        <v>72</v>
      </c>
      <c r="B1460" t="s">
        <v>73</v>
      </c>
      <c r="C1460" t="s">
        <v>74</v>
      </c>
      <c r="E1460" t="str">
        <f>"080069824581"</f>
        <v>080069824581</v>
      </c>
      <c r="F1460" s="3">
        <v>46001</v>
      </c>
      <c r="G1460">
        <v>202609</v>
      </c>
      <c r="H1460" t="s">
        <v>75</v>
      </c>
      <c r="I1460" t="s">
        <v>76</v>
      </c>
      <c r="J1460" t="s">
        <v>77</v>
      </c>
      <c r="K1460" t="s">
        <v>78</v>
      </c>
      <c r="L1460" t="s">
        <v>141</v>
      </c>
      <c r="M1460" t="s">
        <v>142</v>
      </c>
      <c r="N1460" t="s">
        <v>143</v>
      </c>
      <c r="O1460" t="s">
        <v>89</v>
      </c>
      <c r="P1460" t="str">
        <f>"4170072899                    "</f>
        <v xml:space="preserve">4170072899                    </v>
      </c>
      <c r="Q1460">
        <v>0</v>
      </c>
      <c r="R1460">
        <v>0</v>
      </c>
      <c r="S1460">
        <v>0</v>
      </c>
      <c r="T1460">
        <v>0</v>
      </c>
      <c r="U1460">
        <v>0</v>
      </c>
      <c r="V1460">
        <v>0</v>
      </c>
      <c r="W1460">
        <v>0</v>
      </c>
      <c r="X1460">
        <v>0</v>
      </c>
      <c r="Y1460">
        <v>0</v>
      </c>
      <c r="Z1460">
        <v>0</v>
      </c>
      <c r="AA1460">
        <v>0</v>
      </c>
      <c r="AB1460">
        <v>0</v>
      </c>
      <c r="AC1460">
        <v>0</v>
      </c>
      <c r="AD1460">
        <v>0</v>
      </c>
      <c r="AE1460">
        <v>0</v>
      </c>
      <c r="AF1460">
        <v>0</v>
      </c>
      <c r="AG1460">
        <v>0</v>
      </c>
      <c r="AH1460">
        <v>0</v>
      </c>
      <c r="AI1460">
        <v>0</v>
      </c>
      <c r="AJ1460">
        <v>0</v>
      </c>
      <c r="AK1460">
        <v>0</v>
      </c>
      <c r="AL1460">
        <v>0</v>
      </c>
      <c r="AM1460">
        <v>0</v>
      </c>
      <c r="AN1460">
        <v>0</v>
      </c>
      <c r="AO1460">
        <v>0</v>
      </c>
      <c r="AP1460">
        <v>0</v>
      </c>
      <c r="AQ1460">
        <v>51.04</v>
      </c>
      <c r="AR1460">
        <v>0</v>
      </c>
      <c r="AS1460">
        <v>0</v>
      </c>
      <c r="AT1460">
        <v>0</v>
      </c>
      <c r="AU1460">
        <v>0</v>
      </c>
      <c r="AV1460">
        <v>0</v>
      </c>
      <c r="AW1460">
        <v>0</v>
      </c>
      <c r="AX1460">
        <v>0</v>
      </c>
      <c r="AY1460">
        <v>0</v>
      </c>
      <c r="AZ1460">
        <v>0</v>
      </c>
      <c r="BA1460">
        <v>0</v>
      </c>
      <c r="BB1460">
        <v>0</v>
      </c>
      <c r="BC1460">
        <v>0</v>
      </c>
      <c r="BD1460">
        <v>0</v>
      </c>
      <c r="BE1460">
        <v>0</v>
      </c>
      <c r="BF1460">
        <v>0</v>
      </c>
      <c r="BG1460">
        <v>0</v>
      </c>
      <c r="BH1460">
        <v>1</v>
      </c>
      <c r="BI1460">
        <v>4</v>
      </c>
      <c r="BJ1460">
        <v>1.7</v>
      </c>
      <c r="BK1460">
        <v>4</v>
      </c>
      <c r="BL1460">
        <v>152.1</v>
      </c>
      <c r="BM1460">
        <v>22.82</v>
      </c>
      <c r="BN1460">
        <v>174.92</v>
      </c>
      <c r="BO1460">
        <v>174.92</v>
      </c>
      <c r="BQ1460" t="s">
        <v>144</v>
      </c>
      <c r="BR1460" t="s">
        <v>82</v>
      </c>
      <c r="BS1460" s="3">
        <v>46002</v>
      </c>
      <c r="BT1460" s="4">
        <v>0.4236111111111111</v>
      </c>
      <c r="BU1460" t="s">
        <v>2035</v>
      </c>
      <c r="BV1460" t="s">
        <v>84</v>
      </c>
      <c r="BY1460">
        <v>8470</v>
      </c>
      <c r="CA1460" t="s">
        <v>1228</v>
      </c>
      <c r="CC1460" t="s">
        <v>142</v>
      </c>
      <c r="CD1460">
        <v>6001</v>
      </c>
      <c r="CE1460" t="s">
        <v>93</v>
      </c>
      <c r="CF1460" s="3">
        <v>46002</v>
      </c>
      <c r="CI1460">
        <v>1</v>
      </c>
      <c r="CJ1460">
        <v>1</v>
      </c>
      <c r="CK1460">
        <v>21</v>
      </c>
      <c r="CL1460" t="s">
        <v>87</v>
      </c>
    </row>
    <row r="1461" spans="1:90" x14ac:dyDescent="0.3">
      <c r="A1461" t="s">
        <v>72</v>
      </c>
      <c r="B1461" t="s">
        <v>73</v>
      </c>
      <c r="C1461" t="s">
        <v>74</v>
      </c>
      <c r="E1461" t="str">
        <f>"080069824606"</f>
        <v>080069824606</v>
      </c>
      <c r="F1461" s="3">
        <v>46001</v>
      </c>
      <c r="G1461">
        <v>202609</v>
      </c>
      <c r="H1461" t="s">
        <v>75</v>
      </c>
      <c r="I1461" t="s">
        <v>76</v>
      </c>
      <c r="J1461" t="s">
        <v>77</v>
      </c>
      <c r="K1461" t="s">
        <v>78</v>
      </c>
      <c r="L1461" t="s">
        <v>156</v>
      </c>
      <c r="M1461" t="s">
        <v>157</v>
      </c>
      <c r="N1461" t="s">
        <v>261</v>
      </c>
      <c r="O1461" t="s">
        <v>89</v>
      </c>
      <c r="P1461" t="str">
        <f>"4170072921                    "</f>
        <v xml:space="preserve">4170072921                    </v>
      </c>
      <c r="Q1461">
        <v>0</v>
      </c>
      <c r="R1461">
        <v>0</v>
      </c>
      <c r="S1461">
        <v>0</v>
      </c>
      <c r="T1461">
        <v>0</v>
      </c>
      <c r="U1461">
        <v>0</v>
      </c>
      <c r="V1461">
        <v>0</v>
      </c>
      <c r="W1461">
        <v>0</v>
      </c>
      <c r="X1461">
        <v>0</v>
      </c>
      <c r="Y1461">
        <v>0</v>
      </c>
      <c r="Z1461">
        <v>0</v>
      </c>
      <c r="AA1461">
        <v>0</v>
      </c>
      <c r="AB1461">
        <v>0</v>
      </c>
      <c r="AC1461">
        <v>0</v>
      </c>
      <c r="AD1461">
        <v>0</v>
      </c>
      <c r="AE1461">
        <v>0</v>
      </c>
      <c r="AF1461">
        <v>0</v>
      </c>
      <c r="AG1461">
        <v>0</v>
      </c>
      <c r="AH1461">
        <v>0</v>
      </c>
      <c r="AI1461">
        <v>0</v>
      </c>
      <c r="AJ1461">
        <v>0</v>
      </c>
      <c r="AK1461">
        <v>0</v>
      </c>
      <c r="AL1461">
        <v>0</v>
      </c>
      <c r="AM1461">
        <v>0</v>
      </c>
      <c r="AN1461">
        <v>0</v>
      </c>
      <c r="AO1461">
        <v>0</v>
      </c>
      <c r="AP1461">
        <v>0</v>
      </c>
      <c r="AQ1461">
        <v>25.52</v>
      </c>
      <c r="AR1461">
        <v>0</v>
      </c>
      <c r="AS1461">
        <v>0</v>
      </c>
      <c r="AT1461">
        <v>0</v>
      </c>
      <c r="AU1461">
        <v>0</v>
      </c>
      <c r="AV1461">
        <v>0</v>
      </c>
      <c r="AW1461">
        <v>0</v>
      </c>
      <c r="AX1461">
        <v>0</v>
      </c>
      <c r="AY1461">
        <v>0</v>
      </c>
      <c r="AZ1461">
        <v>0</v>
      </c>
      <c r="BA1461">
        <v>0</v>
      </c>
      <c r="BB1461">
        <v>0</v>
      </c>
      <c r="BC1461">
        <v>0</v>
      </c>
      <c r="BD1461">
        <v>0</v>
      </c>
      <c r="BE1461">
        <v>0</v>
      </c>
      <c r="BF1461">
        <v>0</v>
      </c>
      <c r="BG1461">
        <v>0</v>
      </c>
      <c r="BH1461">
        <v>1</v>
      </c>
      <c r="BI1461">
        <v>1</v>
      </c>
      <c r="BJ1461">
        <v>1.4</v>
      </c>
      <c r="BK1461">
        <v>1.5</v>
      </c>
      <c r="BL1461">
        <v>76.06</v>
      </c>
      <c r="BM1461">
        <v>11.41</v>
      </c>
      <c r="BN1461">
        <v>87.47</v>
      </c>
      <c r="BO1461">
        <v>87.47</v>
      </c>
      <c r="BQ1461" t="s">
        <v>262</v>
      </c>
      <c r="BR1461" t="s">
        <v>82</v>
      </c>
      <c r="BS1461" s="3">
        <v>46002</v>
      </c>
      <c r="BT1461" s="4">
        <v>0.41041666666666665</v>
      </c>
      <c r="BU1461" t="s">
        <v>1210</v>
      </c>
      <c r="BV1461" t="s">
        <v>84</v>
      </c>
      <c r="BY1461">
        <v>7000</v>
      </c>
      <c r="CA1461" t="s">
        <v>264</v>
      </c>
      <c r="CC1461" t="s">
        <v>157</v>
      </c>
      <c r="CD1461">
        <v>7441</v>
      </c>
      <c r="CE1461" t="s">
        <v>86</v>
      </c>
      <c r="CF1461" s="3">
        <v>46003</v>
      </c>
      <c r="CI1461">
        <v>1</v>
      </c>
      <c r="CJ1461">
        <v>1</v>
      </c>
      <c r="CK1461">
        <v>21</v>
      </c>
      <c r="CL1461" t="s">
        <v>87</v>
      </c>
    </row>
    <row r="1462" spans="1:90" x14ac:dyDescent="0.3">
      <c r="A1462" t="s">
        <v>72</v>
      </c>
      <c r="B1462" t="s">
        <v>73</v>
      </c>
      <c r="C1462" t="s">
        <v>74</v>
      </c>
      <c r="E1462" t="str">
        <f>"080069824617"</f>
        <v>080069824617</v>
      </c>
      <c r="F1462" s="3">
        <v>46001</v>
      </c>
      <c r="G1462">
        <v>202609</v>
      </c>
      <c r="H1462" t="s">
        <v>75</v>
      </c>
      <c r="I1462" t="s">
        <v>76</v>
      </c>
      <c r="J1462" t="s">
        <v>77</v>
      </c>
      <c r="K1462" t="s">
        <v>78</v>
      </c>
      <c r="L1462" t="s">
        <v>148</v>
      </c>
      <c r="M1462" t="s">
        <v>149</v>
      </c>
      <c r="N1462" t="s">
        <v>150</v>
      </c>
      <c r="O1462" t="s">
        <v>89</v>
      </c>
      <c r="P1462" t="str">
        <f>"4170072902                    "</f>
        <v xml:space="preserve">4170072902                    </v>
      </c>
      <c r="Q1462">
        <v>0</v>
      </c>
      <c r="R1462">
        <v>0</v>
      </c>
      <c r="S1462">
        <v>0</v>
      </c>
      <c r="T1462">
        <v>0</v>
      </c>
      <c r="U1462">
        <v>0</v>
      </c>
      <c r="V1462">
        <v>0</v>
      </c>
      <c r="W1462">
        <v>0</v>
      </c>
      <c r="X1462">
        <v>0</v>
      </c>
      <c r="Y1462">
        <v>0</v>
      </c>
      <c r="Z1462">
        <v>0</v>
      </c>
      <c r="AA1462">
        <v>0</v>
      </c>
      <c r="AB1462">
        <v>0</v>
      </c>
      <c r="AC1462">
        <v>0</v>
      </c>
      <c r="AD1462">
        <v>0</v>
      </c>
      <c r="AE1462">
        <v>0</v>
      </c>
      <c r="AF1462">
        <v>0</v>
      </c>
      <c r="AG1462">
        <v>0</v>
      </c>
      <c r="AH1462">
        <v>0</v>
      </c>
      <c r="AI1462">
        <v>0</v>
      </c>
      <c r="AJ1462">
        <v>0</v>
      </c>
      <c r="AK1462">
        <v>0</v>
      </c>
      <c r="AL1462">
        <v>0</v>
      </c>
      <c r="AM1462">
        <v>0</v>
      </c>
      <c r="AN1462">
        <v>0</v>
      </c>
      <c r="AO1462">
        <v>0</v>
      </c>
      <c r="AP1462">
        <v>0</v>
      </c>
      <c r="AQ1462">
        <v>49.45</v>
      </c>
      <c r="AR1462">
        <v>0</v>
      </c>
      <c r="AS1462">
        <v>0</v>
      </c>
      <c r="AT1462">
        <v>0</v>
      </c>
      <c r="AU1462">
        <v>0</v>
      </c>
      <c r="AV1462">
        <v>0</v>
      </c>
      <c r="AW1462">
        <v>0</v>
      </c>
      <c r="AX1462">
        <v>0</v>
      </c>
      <c r="AY1462">
        <v>0</v>
      </c>
      <c r="AZ1462">
        <v>0</v>
      </c>
      <c r="BA1462">
        <v>0</v>
      </c>
      <c r="BB1462">
        <v>0</v>
      </c>
      <c r="BC1462">
        <v>0</v>
      </c>
      <c r="BD1462">
        <v>0</v>
      </c>
      <c r="BE1462">
        <v>0</v>
      </c>
      <c r="BF1462">
        <v>0</v>
      </c>
      <c r="BG1462">
        <v>0</v>
      </c>
      <c r="BH1462">
        <v>1</v>
      </c>
      <c r="BI1462">
        <v>1</v>
      </c>
      <c r="BJ1462">
        <v>0.2</v>
      </c>
      <c r="BK1462">
        <v>1</v>
      </c>
      <c r="BL1462">
        <v>147.38</v>
      </c>
      <c r="BM1462">
        <v>22.11</v>
      </c>
      <c r="BN1462">
        <v>169.49</v>
      </c>
      <c r="BO1462">
        <v>169.49</v>
      </c>
      <c r="BQ1462" t="s">
        <v>151</v>
      </c>
      <c r="BR1462" t="s">
        <v>82</v>
      </c>
      <c r="BS1462" s="3">
        <v>46002</v>
      </c>
      <c r="BT1462" s="4">
        <v>0.77083333333333337</v>
      </c>
      <c r="BU1462" t="s">
        <v>2039</v>
      </c>
      <c r="BV1462" t="s">
        <v>87</v>
      </c>
      <c r="BY1462">
        <v>1200</v>
      </c>
      <c r="CA1462" t="s">
        <v>155</v>
      </c>
      <c r="CC1462" t="s">
        <v>149</v>
      </c>
      <c r="CD1462">
        <v>7300</v>
      </c>
      <c r="CE1462" t="s">
        <v>134</v>
      </c>
      <c r="CI1462">
        <v>1</v>
      </c>
      <c r="CJ1462">
        <v>1</v>
      </c>
      <c r="CK1462">
        <v>23</v>
      </c>
      <c r="CL1462" t="s">
        <v>87</v>
      </c>
    </row>
    <row r="1463" spans="1:90" x14ac:dyDescent="0.3">
      <c r="A1463" t="s">
        <v>72</v>
      </c>
      <c r="B1463" t="s">
        <v>73</v>
      </c>
      <c r="C1463" t="s">
        <v>74</v>
      </c>
      <c r="E1463" t="str">
        <f>"080069836528"</f>
        <v>080069836528</v>
      </c>
      <c r="F1463" s="3">
        <v>46002</v>
      </c>
      <c r="G1463">
        <v>202609</v>
      </c>
      <c r="H1463" t="s">
        <v>75</v>
      </c>
      <c r="I1463" t="s">
        <v>76</v>
      </c>
      <c r="J1463" t="s">
        <v>77</v>
      </c>
      <c r="K1463" t="s">
        <v>78</v>
      </c>
      <c r="L1463" t="s">
        <v>548</v>
      </c>
      <c r="M1463" t="s">
        <v>549</v>
      </c>
      <c r="N1463" t="s">
        <v>572</v>
      </c>
      <c r="O1463" t="s">
        <v>80</v>
      </c>
      <c r="P1463" t="str">
        <f>"4170072908                    "</f>
        <v xml:space="preserve">4170072908                    </v>
      </c>
      <c r="Q1463">
        <v>0</v>
      </c>
      <c r="R1463">
        <v>0</v>
      </c>
      <c r="S1463">
        <v>0</v>
      </c>
      <c r="T1463">
        <v>0</v>
      </c>
      <c r="U1463">
        <v>0</v>
      </c>
      <c r="V1463">
        <v>0</v>
      </c>
      <c r="W1463">
        <v>0</v>
      </c>
      <c r="X1463">
        <v>0</v>
      </c>
      <c r="Y1463">
        <v>0</v>
      </c>
      <c r="Z1463">
        <v>0</v>
      </c>
      <c r="AA1463">
        <v>0</v>
      </c>
      <c r="AB1463">
        <v>0</v>
      </c>
      <c r="AC1463">
        <v>0</v>
      </c>
      <c r="AD1463">
        <v>0</v>
      </c>
      <c r="AE1463">
        <v>0</v>
      </c>
      <c r="AF1463">
        <v>0</v>
      </c>
      <c r="AG1463">
        <v>0</v>
      </c>
      <c r="AH1463">
        <v>0</v>
      </c>
      <c r="AI1463">
        <v>0</v>
      </c>
      <c r="AJ1463">
        <v>0</v>
      </c>
      <c r="AK1463">
        <v>0</v>
      </c>
      <c r="AL1463">
        <v>0</v>
      </c>
      <c r="AM1463">
        <v>0</v>
      </c>
      <c r="AN1463">
        <v>0</v>
      </c>
      <c r="AO1463">
        <v>0</v>
      </c>
      <c r="AP1463">
        <v>0</v>
      </c>
      <c r="AQ1463">
        <v>457.13</v>
      </c>
      <c r="AR1463">
        <v>0</v>
      </c>
      <c r="AS1463">
        <v>0</v>
      </c>
      <c r="AT1463">
        <v>0</v>
      </c>
      <c r="AU1463">
        <v>0</v>
      </c>
      <c r="AV1463">
        <v>0</v>
      </c>
      <c r="AW1463">
        <v>0</v>
      </c>
      <c r="AX1463">
        <v>0</v>
      </c>
      <c r="AY1463">
        <v>0</v>
      </c>
      <c r="AZ1463">
        <v>0</v>
      </c>
      <c r="BA1463">
        <v>0</v>
      </c>
      <c r="BB1463">
        <v>0</v>
      </c>
      <c r="BC1463">
        <v>0</v>
      </c>
      <c r="BD1463">
        <v>0</v>
      </c>
      <c r="BE1463">
        <v>0</v>
      </c>
      <c r="BF1463">
        <v>0</v>
      </c>
      <c r="BG1463">
        <v>0</v>
      </c>
      <c r="BH1463">
        <v>1</v>
      </c>
      <c r="BI1463">
        <v>124</v>
      </c>
      <c r="BJ1463">
        <v>87.1</v>
      </c>
      <c r="BK1463">
        <v>124</v>
      </c>
      <c r="BL1463">
        <v>1368.44</v>
      </c>
      <c r="BM1463">
        <v>205.27</v>
      </c>
      <c r="BN1463">
        <v>1573.71</v>
      </c>
      <c r="BO1463">
        <v>1573.71</v>
      </c>
      <c r="BQ1463" t="s">
        <v>573</v>
      </c>
      <c r="BR1463" t="s">
        <v>82</v>
      </c>
      <c r="BS1463" t="s">
        <v>500</v>
      </c>
      <c r="BY1463">
        <v>435600</v>
      </c>
      <c r="CC1463" t="s">
        <v>549</v>
      </c>
      <c r="CD1463">
        <v>2302</v>
      </c>
      <c r="CE1463" t="s">
        <v>790</v>
      </c>
      <c r="CI1463">
        <v>1</v>
      </c>
      <c r="CJ1463" t="s">
        <v>500</v>
      </c>
      <c r="CK1463">
        <v>43</v>
      </c>
      <c r="CL1463" t="s">
        <v>87</v>
      </c>
    </row>
    <row r="1464" spans="1:90" x14ac:dyDescent="0.3">
      <c r="A1464" t="s">
        <v>72</v>
      </c>
      <c r="B1464" t="s">
        <v>73</v>
      </c>
      <c r="C1464" t="s">
        <v>74</v>
      </c>
      <c r="E1464" t="str">
        <f>"080069837177"</f>
        <v>080069837177</v>
      </c>
      <c r="F1464" s="3">
        <v>46002</v>
      </c>
      <c r="G1464">
        <v>202609</v>
      </c>
      <c r="H1464" t="s">
        <v>75</v>
      </c>
      <c r="I1464" t="s">
        <v>76</v>
      </c>
      <c r="J1464" t="s">
        <v>77</v>
      </c>
      <c r="K1464" t="s">
        <v>78</v>
      </c>
      <c r="L1464" t="s">
        <v>332</v>
      </c>
      <c r="M1464" t="s">
        <v>333</v>
      </c>
      <c r="N1464" t="s">
        <v>334</v>
      </c>
      <c r="O1464" t="s">
        <v>80</v>
      </c>
      <c r="P1464" t="str">
        <f>"4170072932                    "</f>
        <v xml:space="preserve">4170072932                    </v>
      </c>
      <c r="Q1464">
        <v>0</v>
      </c>
      <c r="R1464">
        <v>0</v>
      </c>
      <c r="S1464">
        <v>0</v>
      </c>
      <c r="T1464">
        <v>0</v>
      </c>
      <c r="U1464">
        <v>0</v>
      </c>
      <c r="V1464">
        <v>0</v>
      </c>
      <c r="W1464">
        <v>0</v>
      </c>
      <c r="X1464">
        <v>0</v>
      </c>
      <c r="Y1464">
        <v>0</v>
      </c>
      <c r="Z1464">
        <v>0</v>
      </c>
      <c r="AA1464">
        <v>0</v>
      </c>
      <c r="AB1464">
        <v>0</v>
      </c>
      <c r="AC1464">
        <v>0</v>
      </c>
      <c r="AD1464">
        <v>0</v>
      </c>
      <c r="AE1464">
        <v>0</v>
      </c>
      <c r="AF1464">
        <v>0</v>
      </c>
      <c r="AG1464">
        <v>0</v>
      </c>
      <c r="AH1464">
        <v>0</v>
      </c>
      <c r="AI1464">
        <v>0</v>
      </c>
      <c r="AJ1464">
        <v>0</v>
      </c>
      <c r="AK1464">
        <v>0</v>
      </c>
      <c r="AL1464">
        <v>0</v>
      </c>
      <c r="AM1464">
        <v>0</v>
      </c>
      <c r="AN1464">
        <v>0</v>
      </c>
      <c r="AO1464">
        <v>0</v>
      </c>
      <c r="AP1464">
        <v>0</v>
      </c>
      <c r="AQ1464">
        <v>250.93</v>
      </c>
      <c r="AR1464">
        <v>0</v>
      </c>
      <c r="AS1464">
        <v>0</v>
      </c>
      <c r="AT1464">
        <v>0</v>
      </c>
      <c r="AU1464">
        <v>0</v>
      </c>
      <c r="AV1464">
        <v>0</v>
      </c>
      <c r="AW1464">
        <v>0</v>
      </c>
      <c r="AX1464">
        <v>0</v>
      </c>
      <c r="AY1464">
        <v>0</v>
      </c>
      <c r="AZ1464">
        <v>0</v>
      </c>
      <c r="BA1464">
        <v>0</v>
      </c>
      <c r="BB1464">
        <v>0</v>
      </c>
      <c r="BC1464">
        <v>0</v>
      </c>
      <c r="BD1464">
        <v>0</v>
      </c>
      <c r="BE1464">
        <v>0</v>
      </c>
      <c r="BF1464">
        <v>0</v>
      </c>
      <c r="BG1464">
        <v>0</v>
      </c>
      <c r="BH1464">
        <v>2</v>
      </c>
      <c r="BI1464">
        <v>35.1</v>
      </c>
      <c r="BJ1464">
        <v>65.599999999999994</v>
      </c>
      <c r="BK1464">
        <v>66</v>
      </c>
      <c r="BL1464">
        <v>753.92</v>
      </c>
      <c r="BM1464">
        <v>113.09</v>
      </c>
      <c r="BN1464">
        <v>867.01</v>
      </c>
      <c r="BO1464">
        <v>867.01</v>
      </c>
      <c r="BQ1464" t="s">
        <v>335</v>
      </c>
      <c r="BR1464" t="s">
        <v>82</v>
      </c>
      <c r="BS1464" t="s">
        <v>500</v>
      </c>
      <c r="BY1464">
        <v>328165.40000000002</v>
      </c>
      <c r="CC1464" t="s">
        <v>333</v>
      </c>
      <c r="CD1464">
        <v>6500</v>
      </c>
      <c r="CE1464" t="s">
        <v>86</v>
      </c>
      <c r="CI1464">
        <v>3</v>
      </c>
      <c r="CJ1464" t="s">
        <v>500</v>
      </c>
      <c r="CK1464">
        <v>43</v>
      </c>
      <c r="CL1464" t="s">
        <v>87</v>
      </c>
    </row>
    <row r="1465" spans="1:90" x14ac:dyDescent="0.3">
      <c r="A1465" t="s">
        <v>72</v>
      </c>
      <c r="B1465" t="s">
        <v>73</v>
      </c>
      <c r="C1465" t="s">
        <v>74</v>
      </c>
      <c r="E1465" t="str">
        <f>"080069837409"</f>
        <v>080069837409</v>
      </c>
      <c r="F1465" s="3">
        <v>46002</v>
      </c>
      <c r="G1465">
        <v>202609</v>
      </c>
      <c r="H1465" t="s">
        <v>75</v>
      </c>
      <c r="I1465" t="s">
        <v>76</v>
      </c>
      <c r="J1465" t="s">
        <v>77</v>
      </c>
      <c r="K1465" t="s">
        <v>78</v>
      </c>
      <c r="L1465" t="s">
        <v>156</v>
      </c>
      <c r="M1465" t="s">
        <v>157</v>
      </c>
      <c r="N1465" t="s">
        <v>443</v>
      </c>
      <c r="O1465" t="s">
        <v>89</v>
      </c>
      <c r="P1465" t="str">
        <f>"4170073124                    "</f>
        <v xml:space="preserve">4170073124                    </v>
      </c>
      <c r="Q1465">
        <v>0</v>
      </c>
      <c r="R1465">
        <v>0</v>
      </c>
      <c r="S1465">
        <v>0</v>
      </c>
      <c r="T1465">
        <v>0</v>
      </c>
      <c r="U1465">
        <v>0</v>
      </c>
      <c r="V1465">
        <v>0</v>
      </c>
      <c r="W1465">
        <v>0</v>
      </c>
      <c r="X1465">
        <v>0</v>
      </c>
      <c r="Y1465">
        <v>0</v>
      </c>
      <c r="Z1465">
        <v>0</v>
      </c>
      <c r="AA1465">
        <v>0</v>
      </c>
      <c r="AB1465">
        <v>0</v>
      </c>
      <c r="AC1465">
        <v>0</v>
      </c>
      <c r="AD1465">
        <v>0</v>
      </c>
      <c r="AE1465">
        <v>0</v>
      </c>
      <c r="AF1465">
        <v>0</v>
      </c>
      <c r="AG1465">
        <v>0</v>
      </c>
      <c r="AH1465">
        <v>0</v>
      </c>
      <c r="AI1465">
        <v>0</v>
      </c>
      <c r="AJ1465">
        <v>0</v>
      </c>
      <c r="AK1465">
        <v>0</v>
      </c>
      <c r="AL1465">
        <v>0</v>
      </c>
      <c r="AM1465">
        <v>0</v>
      </c>
      <c r="AN1465">
        <v>0</v>
      </c>
      <c r="AO1465">
        <v>0</v>
      </c>
      <c r="AP1465">
        <v>0</v>
      </c>
      <c r="AQ1465">
        <v>25.52</v>
      </c>
      <c r="AR1465">
        <v>0</v>
      </c>
      <c r="AS1465">
        <v>0</v>
      </c>
      <c r="AT1465">
        <v>0</v>
      </c>
      <c r="AU1465">
        <v>0</v>
      </c>
      <c r="AV1465">
        <v>0</v>
      </c>
      <c r="AW1465">
        <v>0</v>
      </c>
      <c r="AX1465">
        <v>0</v>
      </c>
      <c r="AY1465">
        <v>0</v>
      </c>
      <c r="AZ1465">
        <v>0</v>
      </c>
      <c r="BA1465">
        <v>0</v>
      </c>
      <c r="BB1465">
        <v>0</v>
      </c>
      <c r="BC1465">
        <v>0</v>
      </c>
      <c r="BD1465">
        <v>0</v>
      </c>
      <c r="BE1465">
        <v>0</v>
      </c>
      <c r="BF1465">
        <v>0</v>
      </c>
      <c r="BG1465">
        <v>0</v>
      </c>
      <c r="BH1465">
        <v>1</v>
      </c>
      <c r="BI1465">
        <v>1</v>
      </c>
      <c r="BJ1465">
        <v>0.2</v>
      </c>
      <c r="BK1465">
        <v>1</v>
      </c>
      <c r="BL1465">
        <v>76.06</v>
      </c>
      <c r="BM1465">
        <v>11.41</v>
      </c>
      <c r="BN1465">
        <v>87.47</v>
      </c>
      <c r="BO1465">
        <v>87.47</v>
      </c>
      <c r="BQ1465" t="s">
        <v>444</v>
      </c>
      <c r="BR1465" t="s">
        <v>82</v>
      </c>
      <c r="BS1465" t="s">
        <v>500</v>
      </c>
      <c r="BY1465">
        <v>1200</v>
      </c>
      <c r="CC1465" t="s">
        <v>157</v>
      </c>
      <c r="CD1465">
        <v>7530</v>
      </c>
      <c r="CE1465" t="s">
        <v>134</v>
      </c>
      <c r="CI1465">
        <v>1</v>
      </c>
      <c r="CJ1465" t="s">
        <v>500</v>
      </c>
      <c r="CK1465">
        <v>21</v>
      </c>
      <c r="CL1465" t="s">
        <v>87</v>
      </c>
    </row>
    <row r="1466" spans="1:90" x14ac:dyDescent="0.3">
      <c r="A1466" t="s">
        <v>72</v>
      </c>
      <c r="B1466" t="s">
        <v>73</v>
      </c>
      <c r="C1466" t="s">
        <v>74</v>
      </c>
      <c r="E1466" t="str">
        <f>"080069837587"</f>
        <v>080069837587</v>
      </c>
      <c r="F1466" s="3">
        <v>46002</v>
      </c>
      <c r="G1466">
        <v>202609</v>
      </c>
      <c r="H1466" t="s">
        <v>75</v>
      </c>
      <c r="I1466" t="s">
        <v>76</v>
      </c>
      <c r="J1466" t="s">
        <v>77</v>
      </c>
      <c r="K1466" t="s">
        <v>78</v>
      </c>
      <c r="L1466" t="s">
        <v>332</v>
      </c>
      <c r="M1466" t="s">
        <v>333</v>
      </c>
      <c r="N1466" t="s">
        <v>334</v>
      </c>
      <c r="O1466" t="s">
        <v>80</v>
      </c>
      <c r="P1466" t="str">
        <f>"4170072941                    "</f>
        <v xml:space="preserve">4170072941                    </v>
      </c>
      <c r="Q1466">
        <v>0</v>
      </c>
      <c r="R1466">
        <v>0</v>
      </c>
      <c r="S1466">
        <v>0</v>
      </c>
      <c r="T1466">
        <v>0</v>
      </c>
      <c r="U1466">
        <v>0</v>
      </c>
      <c r="V1466">
        <v>0</v>
      </c>
      <c r="W1466">
        <v>0</v>
      </c>
      <c r="X1466">
        <v>0</v>
      </c>
      <c r="Y1466">
        <v>0</v>
      </c>
      <c r="Z1466">
        <v>0</v>
      </c>
      <c r="AA1466">
        <v>0</v>
      </c>
      <c r="AB1466">
        <v>0</v>
      </c>
      <c r="AC1466">
        <v>0</v>
      </c>
      <c r="AD1466">
        <v>0</v>
      </c>
      <c r="AE1466">
        <v>0</v>
      </c>
      <c r="AF1466">
        <v>0</v>
      </c>
      <c r="AG1466">
        <v>0</v>
      </c>
      <c r="AH1466">
        <v>0</v>
      </c>
      <c r="AI1466">
        <v>0</v>
      </c>
      <c r="AJ1466">
        <v>0</v>
      </c>
      <c r="AK1466">
        <v>0</v>
      </c>
      <c r="AL1466">
        <v>0</v>
      </c>
      <c r="AM1466">
        <v>0</v>
      </c>
      <c r="AN1466">
        <v>0</v>
      </c>
      <c r="AO1466">
        <v>0</v>
      </c>
      <c r="AP1466">
        <v>0</v>
      </c>
      <c r="AQ1466">
        <v>236.71</v>
      </c>
      <c r="AR1466">
        <v>0</v>
      </c>
      <c r="AS1466">
        <v>0</v>
      </c>
      <c r="AT1466">
        <v>0</v>
      </c>
      <c r="AU1466">
        <v>0</v>
      </c>
      <c r="AV1466">
        <v>0</v>
      </c>
      <c r="AW1466">
        <v>0</v>
      </c>
      <c r="AX1466">
        <v>0</v>
      </c>
      <c r="AY1466">
        <v>0</v>
      </c>
      <c r="AZ1466">
        <v>0</v>
      </c>
      <c r="BA1466">
        <v>0</v>
      </c>
      <c r="BB1466">
        <v>0</v>
      </c>
      <c r="BC1466">
        <v>0</v>
      </c>
      <c r="BD1466">
        <v>0</v>
      </c>
      <c r="BE1466">
        <v>0</v>
      </c>
      <c r="BF1466">
        <v>0</v>
      </c>
      <c r="BG1466">
        <v>0</v>
      </c>
      <c r="BH1466">
        <v>2</v>
      </c>
      <c r="BI1466">
        <v>22</v>
      </c>
      <c r="BJ1466">
        <v>61.8</v>
      </c>
      <c r="BK1466">
        <v>62</v>
      </c>
      <c r="BL1466">
        <v>711.54</v>
      </c>
      <c r="BM1466">
        <v>106.73</v>
      </c>
      <c r="BN1466">
        <v>818.27</v>
      </c>
      <c r="BO1466">
        <v>818.27</v>
      </c>
      <c r="BQ1466" t="s">
        <v>335</v>
      </c>
      <c r="BR1466" t="s">
        <v>82</v>
      </c>
      <c r="BS1466" t="s">
        <v>500</v>
      </c>
      <c r="BY1466">
        <v>309120</v>
      </c>
      <c r="CC1466" t="s">
        <v>333</v>
      </c>
      <c r="CD1466">
        <v>6500</v>
      </c>
      <c r="CE1466" t="s">
        <v>86</v>
      </c>
      <c r="CI1466">
        <v>3</v>
      </c>
      <c r="CJ1466" t="s">
        <v>500</v>
      </c>
      <c r="CK1466">
        <v>43</v>
      </c>
      <c r="CL1466" t="s">
        <v>87</v>
      </c>
    </row>
    <row r="1467" spans="1:90" x14ac:dyDescent="0.3">
      <c r="A1467" t="s">
        <v>72</v>
      </c>
      <c r="B1467" t="s">
        <v>73</v>
      </c>
      <c r="C1467" t="s">
        <v>74</v>
      </c>
      <c r="E1467" t="str">
        <f>"080069837855"</f>
        <v>080069837855</v>
      </c>
      <c r="F1467" s="3">
        <v>46002</v>
      </c>
      <c r="G1467">
        <v>202609</v>
      </c>
      <c r="H1467" t="s">
        <v>75</v>
      </c>
      <c r="I1467" t="s">
        <v>76</v>
      </c>
      <c r="J1467" t="s">
        <v>77</v>
      </c>
      <c r="K1467" t="s">
        <v>78</v>
      </c>
      <c r="L1467" t="s">
        <v>75</v>
      </c>
      <c r="M1467" t="s">
        <v>76</v>
      </c>
      <c r="N1467" t="s">
        <v>2146</v>
      </c>
      <c r="O1467" t="s">
        <v>80</v>
      </c>
      <c r="P1467" t="str">
        <f>"4170072896                    "</f>
        <v xml:space="preserve">4170072896                    </v>
      </c>
      <c r="Q1467">
        <v>0</v>
      </c>
      <c r="R1467">
        <v>0</v>
      </c>
      <c r="S1467">
        <v>0</v>
      </c>
      <c r="T1467">
        <v>0</v>
      </c>
      <c r="U1467">
        <v>0</v>
      </c>
      <c r="V1467">
        <v>0</v>
      </c>
      <c r="W1467">
        <v>0</v>
      </c>
      <c r="X1467">
        <v>0</v>
      </c>
      <c r="Y1467">
        <v>0</v>
      </c>
      <c r="Z1467">
        <v>0</v>
      </c>
      <c r="AA1467">
        <v>0</v>
      </c>
      <c r="AB1467">
        <v>0</v>
      </c>
      <c r="AC1467">
        <v>0</v>
      </c>
      <c r="AD1467">
        <v>0</v>
      </c>
      <c r="AE1467">
        <v>0</v>
      </c>
      <c r="AF1467">
        <v>0</v>
      </c>
      <c r="AG1467">
        <v>0</v>
      </c>
      <c r="AH1467">
        <v>0</v>
      </c>
      <c r="AI1467">
        <v>0</v>
      </c>
      <c r="AJ1467">
        <v>0</v>
      </c>
      <c r="AK1467">
        <v>0</v>
      </c>
      <c r="AL1467">
        <v>0</v>
      </c>
      <c r="AM1467">
        <v>0</v>
      </c>
      <c r="AN1467">
        <v>0</v>
      </c>
      <c r="AO1467">
        <v>0</v>
      </c>
      <c r="AP1467">
        <v>0</v>
      </c>
      <c r="AQ1467">
        <v>42.53</v>
      </c>
      <c r="AR1467">
        <v>0</v>
      </c>
      <c r="AS1467">
        <v>0</v>
      </c>
      <c r="AT1467">
        <v>0</v>
      </c>
      <c r="AU1467">
        <v>0</v>
      </c>
      <c r="AV1467">
        <v>0</v>
      </c>
      <c r="AW1467">
        <v>0</v>
      </c>
      <c r="AX1467">
        <v>0</v>
      </c>
      <c r="AY1467">
        <v>0</v>
      </c>
      <c r="AZ1467">
        <v>0</v>
      </c>
      <c r="BA1467">
        <v>0</v>
      </c>
      <c r="BB1467">
        <v>0</v>
      </c>
      <c r="BC1467">
        <v>0</v>
      </c>
      <c r="BD1467">
        <v>0</v>
      </c>
      <c r="BE1467">
        <v>0</v>
      </c>
      <c r="BF1467">
        <v>0</v>
      </c>
      <c r="BG1467">
        <v>0</v>
      </c>
      <c r="BH1467">
        <v>1</v>
      </c>
      <c r="BI1467">
        <v>19</v>
      </c>
      <c r="BJ1467">
        <v>9.1</v>
      </c>
      <c r="BK1467">
        <v>19</v>
      </c>
      <c r="BL1467">
        <v>132.85</v>
      </c>
      <c r="BM1467">
        <v>19.93</v>
      </c>
      <c r="BN1467">
        <v>152.78</v>
      </c>
      <c r="BO1467">
        <v>152.78</v>
      </c>
      <c r="BQ1467" t="s">
        <v>2147</v>
      </c>
      <c r="BR1467" t="s">
        <v>82</v>
      </c>
      <c r="BS1467" s="3">
        <v>46003</v>
      </c>
      <c r="BT1467" s="4">
        <v>0.32569444444444445</v>
      </c>
      <c r="BU1467" t="s">
        <v>2148</v>
      </c>
      <c r="BV1467" t="s">
        <v>84</v>
      </c>
      <c r="BY1467">
        <v>45500</v>
      </c>
      <c r="CA1467" t="s">
        <v>92</v>
      </c>
      <c r="CC1467" t="s">
        <v>76</v>
      </c>
      <c r="CD1467">
        <v>1600</v>
      </c>
      <c r="CE1467" t="s">
        <v>86</v>
      </c>
      <c r="CI1467">
        <v>1</v>
      </c>
      <c r="CJ1467">
        <v>1</v>
      </c>
      <c r="CK1467">
        <v>42</v>
      </c>
      <c r="CL1467" t="s">
        <v>87</v>
      </c>
    </row>
    <row r="1468" spans="1:90" x14ac:dyDescent="0.3">
      <c r="A1468" t="s">
        <v>72</v>
      </c>
      <c r="B1468" t="s">
        <v>73</v>
      </c>
      <c r="C1468" t="s">
        <v>74</v>
      </c>
      <c r="E1468" t="str">
        <f>"080069837918"</f>
        <v>080069837918</v>
      </c>
      <c r="F1468" s="3">
        <v>46002</v>
      </c>
      <c r="G1468">
        <v>202609</v>
      </c>
      <c r="H1468" t="s">
        <v>75</v>
      </c>
      <c r="I1468" t="s">
        <v>76</v>
      </c>
      <c r="J1468" t="s">
        <v>77</v>
      </c>
      <c r="K1468" t="s">
        <v>78</v>
      </c>
      <c r="L1468" t="s">
        <v>465</v>
      </c>
      <c r="M1468" t="s">
        <v>466</v>
      </c>
      <c r="N1468" t="s">
        <v>1950</v>
      </c>
      <c r="O1468" t="s">
        <v>89</v>
      </c>
      <c r="P1468" t="str">
        <f>"4170072949                    "</f>
        <v xml:space="preserve">4170072949                    </v>
      </c>
      <c r="Q1468">
        <v>0</v>
      </c>
      <c r="R1468">
        <v>0</v>
      </c>
      <c r="S1468">
        <v>0</v>
      </c>
      <c r="T1468">
        <v>0</v>
      </c>
      <c r="U1468">
        <v>0</v>
      </c>
      <c r="V1468">
        <v>0</v>
      </c>
      <c r="W1468">
        <v>0</v>
      </c>
      <c r="X1468">
        <v>0</v>
      </c>
      <c r="Y1468">
        <v>0</v>
      </c>
      <c r="Z1468">
        <v>0</v>
      </c>
      <c r="AA1468">
        <v>0</v>
      </c>
      <c r="AB1468">
        <v>0</v>
      </c>
      <c r="AC1468">
        <v>0</v>
      </c>
      <c r="AD1468">
        <v>0</v>
      </c>
      <c r="AE1468">
        <v>0</v>
      </c>
      <c r="AF1468">
        <v>0</v>
      </c>
      <c r="AG1468">
        <v>0</v>
      </c>
      <c r="AH1468">
        <v>0</v>
      </c>
      <c r="AI1468">
        <v>0</v>
      </c>
      <c r="AJ1468">
        <v>0</v>
      </c>
      <c r="AK1468">
        <v>0</v>
      </c>
      <c r="AL1468">
        <v>0</v>
      </c>
      <c r="AM1468">
        <v>0</v>
      </c>
      <c r="AN1468">
        <v>0</v>
      </c>
      <c r="AO1468">
        <v>0</v>
      </c>
      <c r="AP1468">
        <v>0</v>
      </c>
      <c r="AQ1468">
        <v>19.940000000000001</v>
      </c>
      <c r="AR1468">
        <v>0</v>
      </c>
      <c r="AS1468">
        <v>0</v>
      </c>
      <c r="AT1468">
        <v>0</v>
      </c>
      <c r="AU1468">
        <v>0</v>
      </c>
      <c r="AV1468">
        <v>0</v>
      </c>
      <c r="AW1468">
        <v>0</v>
      </c>
      <c r="AX1468">
        <v>0</v>
      </c>
      <c r="AY1468">
        <v>0</v>
      </c>
      <c r="AZ1468">
        <v>0</v>
      </c>
      <c r="BA1468">
        <v>0</v>
      </c>
      <c r="BB1468">
        <v>0</v>
      </c>
      <c r="BC1468">
        <v>0</v>
      </c>
      <c r="BD1468">
        <v>0</v>
      </c>
      <c r="BE1468">
        <v>0</v>
      </c>
      <c r="BF1468">
        <v>0</v>
      </c>
      <c r="BG1468">
        <v>0</v>
      </c>
      <c r="BH1468">
        <v>1</v>
      </c>
      <c r="BI1468">
        <v>2</v>
      </c>
      <c r="BJ1468">
        <v>1.5</v>
      </c>
      <c r="BK1468">
        <v>2</v>
      </c>
      <c r="BL1468">
        <v>59.42</v>
      </c>
      <c r="BM1468">
        <v>8.91</v>
      </c>
      <c r="BN1468">
        <v>68.33</v>
      </c>
      <c r="BO1468">
        <v>68.33</v>
      </c>
      <c r="BQ1468" t="s">
        <v>1951</v>
      </c>
      <c r="BR1468" t="s">
        <v>82</v>
      </c>
      <c r="BS1468" s="3">
        <v>46003</v>
      </c>
      <c r="BT1468" s="4">
        <v>0.33680555555555558</v>
      </c>
      <c r="BU1468" t="s">
        <v>1952</v>
      </c>
      <c r="BV1468" t="s">
        <v>84</v>
      </c>
      <c r="BY1468">
        <v>7280</v>
      </c>
      <c r="CA1468" t="s">
        <v>727</v>
      </c>
      <c r="CC1468" t="s">
        <v>466</v>
      </c>
      <c r="CD1468">
        <v>1428</v>
      </c>
      <c r="CE1468" t="s">
        <v>86</v>
      </c>
      <c r="CI1468">
        <v>1</v>
      </c>
      <c r="CJ1468">
        <v>1</v>
      </c>
      <c r="CK1468">
        <v>22</v>
      </c>
      <c r="CL1468" t="s">
        <v>87</v>
      </c>
    </row>
    <row r="1469" spans="1:90" x14ac:dyDescent="0.3">
      <c r="A1469" t="s">
        <v>72</v>
      </c>
      <c r="B1469" t="s">
        <v>73</v>
      </c>
      <c r="C1469" t="s">
        <v>74</v>
      </c>
      <c r="E1469" t="str">
        <f>"080069837969"</f>
        <v>080069837969</v>
      </c>
      <c r="F1469" s="3">
        <v>46002</v>
      </c>
      <c r="G1469">
        <v>202609</v>
      </c>
      <c r="H1469" t="s">
        <v>75</v>
      </c>
      <c r="I1469" t="s">
        <v>76</v>
      </c>
      <c r="J1469" t="s">
        <v>77</v>
      </c>
      <c r="K1469" t="s">
        <v>78</v>
      </c>
      <c r="L1469" t="s">
        <v>156</v>
      </c>
      <c r="M1469" t="s">
        <v>157</v>
      </c>
      <c r="N1469" t="s">
        <v>2149</v>
      </c>
      <c r="O1469" t="s">
        <v>89</v>
      </c>
      <c r="P1469" t="str">
        <f>"4170073086                    "</f>
        <v xml:space="preserve">4170073086                    </v>
      </c>
      <c r="Q1469">
        <v>0</v>
      </c>
      <c r="R1469">
        <v>0</v>
      </c>
      <c r="S1469">
        <v>0</v>
      </c>
      <c r="T1469">
        <v>0</v>
      </c>
      <c r="U1469">
        <v>0</v>
      </c>
      <c r="V1469">
        <v>0</v>
      </c>
      <c r="W1469">
        <v>0</v>
      </c>
      <c r="X1469">
        <v>0</v>
      </c>
      <c r="Y1469">
        <v>0</v>
      </c>
      <c r="Z1469">
        <v>0</v>
      </c>
      <c r="AA1469">
        <v>0</v>
      </c>
      <c r="AB1469">
        <v>0</v>
      </c>
      <c r="AC1469">
        <v>0</v>
      </c>
      <c r="AD1469">
        <v>0</v>
      </c>
      <c r="AE1469">
        <v>0</v>
      </c>
      <c r="AF1469">
        <v>0</v>
      </c>
      <c r="AG1469">
        <v>0</v>
      </c>
      <c r="AH1469">
        <v>0</v>
      </c>
      <c r="AI1469">
        <v>0</v>
      </c>
      <c r="AJ1469">
        <v>0</v>
      </c>
      <c r="AK1469">
        <v>0</v>
      </c>
      <c r="AL1469">
        <v>0</v>
      </c>
      <c r="AM1469">
        <v>0</v>
      </c>
      <c r="AN1469">
        <v>0</v>
      </c>
      <c r="AO1469">
        <v>0</v>
      </c>
      <c r="AP1469">
        <v>0</v>
      </c>
      <c r="AQ1469">
        <v>25.52</v>
      </c>
      <c r="AR1469">
        <v>0</v>
      </c>
      <c r="AS1469">
        <v>0</v>
      </c>
      <c r="AT1469">
        <v>0</v>
      </c>
      <c r="AU1469">
        <v>0</v>
      </c>
      <c r="AV1469">
        <v>0</v>
      </c>
      <c r="AW1469">
        <v>17.41</v>
      </c>
      <c r="AX1469">
        <v>0</v>
      </c>
      <c r="AY1469">
        <v>0</v>
      </c>
      <c r="AZ1469">
        <v>0</v>
      </c>
      <c r="BA1469">
        <v>0</v>
      </c>
      <c r="BB1469">
        <v>0</v>
      </c>
      <c r="BC1469">
        <v>0</v>
      </c>
      <c r="BD1469">
        <v>0</v>
      </c>
      <c r="BE1469">
        <v>0</v>
      </c>
      <c r="BF1469">
        <v>0</v>
      </c>
      <c r="BG1469">
        <v>0</v>
      </c>
      <c r="BH1469">
        <v>1</v>
      </c>
      <c r="BI1469">
        <v>1</v>
      </c>
      <c r="BJ1469">
        <v>0.2</v>
      </c>
      <c r="BK1469">
        <v>1</v>
      </c>
      <c r="BL1469">
        <v>93.47</v>
      </c>
      <c r="BM1469">
        <v>14.02</v>
      </c>
      <c r="BN1469">
        <v>107.49</v>
      </c>
      <c r="BO1469">
        <v>107.49</v>
      </c>
      <c r="BQ1469" t="s">
        <v>2150</v>
      </c>
      <c r="BR1469" t="s">
        <v>82</v>
      </c>
      <c r="BS1469" t="s">
        <v>500</v>
      </c>
      <c r="BY1469">
        <v>1200</v>
      </c>
      <c r="BZ1469" t="s">
        <v>30</v>
      </c>
      <c r="CC1469" t="s">
        <v>157</v>
      </c>
      <c r="CD1469">
        <v>7781</v>
      </c>
      <c r="CE1469" t="s">
        <v>134</v>
      </c>
      <c r="CI1469">
        <v>1</v>
      </c>
      <c r="CJ1469" t="s">
        <v>500</v>
      </c>
      <c r="CK1469">
        <v>21</v>
      </c>
      <c r="CL1469" t="s">
        <v>87</v>
      </c>
    </row>
    <row r="1470" spans="1:90" x14ac:dyDescent="0.3">
      <c r="A1470" t="s">
        <v>72</v>
      </c>
      <c r="B1470" t="s">
        <v>73</v>
      </c>
      <c r="C1470" t="s">
        <v>74</v>
      </c>
      <c r="E1470" t="str">
        <f>"080069838149"</f>
        <v>080069838149</v>
      </c>
      <c r="F1470" s="3">
        <v>46002</v>
      </c>
      <c r="G1470">
        <v>202609</v>
      </c>
      <c r="H1470" t="s">
        <v>75</v>
      </c>
      <c r="I1470" t="s">
        <v>76</v>
      </c>
      <c r="J1470" t="s">
        <v>77</v>
      </c>
      <c r="K1470" t="s">
        <v>78</v>
      </c>
      <c r="L1470" t="s">
        <v>528</v>
      </c>
      <c r="M1470" t="s">
        <v>529</v>
      </c>
      <c r="N1470" t="s">
        <v>2151</v>
      </c>
      <c r="O1470" t="s">
        <v>89</v>
      </c>
      <c r="P1470" t="str">
        <f>"4170072946                    "</f>
        <v xml:space="preserve">4170072946                    </v>
      </c>
      <c r="Q1470">
        <v>0</v>
      </c>
      <c r="R1470">
        <v>0</v>
      </c>
      <c r="S1470">
        <v>0</v>
      </c>
      <c r="T1470">
        <v>0</v>
      </c>
      <c r="U1470">
        <v>0</v>
      </c>
      <c r="V1470">
        <v>0</v>
      </c>
      <c r="W1470">
        <v>0</v>
      </c>
      <c r="X1470">
        <v>0</v>
      </c>
      <c r="Y1470">
        <v>0</v>
      </c>
      <c r="Z1470">
        <v>0</v>
      </c>
      <c r="AA1470">
        <v>0</v>
      </c>
      <c r="AB1470">
        <v>0</v>
      </c>
      <c r="AC1470">
        <v>0</v>
      </c>
      <c r="AD1470">
        <v>0</v>
      </c>
      <c r="AE1470">
        <v>0</v>
      </c>
      <c r="AF1470">
        <v>0</v>
      </c>
      <c r="AG1470">
        <v>0</v>
      </c>
      <c r="AH1470">
        <v>0</v>
      </c>
      <c r="AI1470">
        <v>0</v>
      </c>
      <c r="AJ1470">
        <v>0</v>
      </c>
      <c r="AK1470">
        <v>0</v>
      </c>
      <c r="AL1470">
        <v>0</v>
      </c>
      <c r="AM1470">
        <v>0</v>
      </c>
      <c r="AN1470">
        <v>0</v>
      </c>
      <c r="AO1470">
        <v>0</v>
      </c>
      <c r="AP1470">
        <v>0</v>
      </c>
      <c r="AQ1470">
        <v>71.790000000000006</v>
      </c>
      <c r="AR1470">
        <v>0</v>
      </c>
      <c r="AS1470">
        <v>0</v>
      </c>
      <c r="AT1470">
        <v>0</v>
      </c>
      <c r="AU1470">
        <v>0</v>
      </c>
      <c r="AV1470">
        <v>0</v>
      </c>
      <c r="AW1470">
        <v>17.41</v>
      </c>
      <c r="AX1470">
        <v>0</v>
      </c>
      <c r="AY1470">
        <v>0</v>
      </c>
      <c r="AZ1470">
        <v>0</v>
      </c>
      <c r="BA1470">
        <v>0</v>
      </c>
      <c r="BB1470">
        <v>0</v>
      </c>
      <c r="BC1470">
        <v>0</v>
      </c>
      <c r="BD1470">
        <v>0</v>
      </c>
      <c r="BE1470">
        <v>0</v>
      </c>
      <c r="BF1470">
        <v>0</v>
      </c>
      <c r="BG1470">
        <v>0</v>
      </c>
      <c r="BH1470">
        <v>1</v>
      </c>
      <c r="BI1470">
        <v>0.2</v>
      </c>
      <c r="BJ1470">
        <v>2.6</v>
      </c>
      <c r="BK1470">
        <v>3</v>
      </c>
      <c r="BL1470">
        <v>231.35</v>
      </c>
      <c r="BM1470">
        <v>34.700000000000003</v>
      </c>
      <c r="BN1470">
        <v>266.05</v>
      </c>
      <c r="BO1470">
        <v>266.05</v>
      </c>
      <c r="BQ1470" t="s">
        <v>2152</v>
      </c>
      <c r="BR1470" t="s">
        <v>82</v>
      </c>
      <c r="BS1470" t="s">
        <v>500</v>
      </c>
      <c r="BY1470">
        <v>12883.2</v>
      </c>
      <c r="BZ1470" t="s">
        <v>30</v>
      </c>
      <c r="CC1470" t="s">
        <v>529</v>
      </c>
      <c r="CD1470" s="5" t="s">
        <v>2153</v>
      </c>
      <c r="CE1470" t="s">
        <v>134</v>
      </c>
      <c r="CI1470">
        <v>1</v>
      </c>
      <c r="CJ1470" t="s">
        <v>500</v>
      </c>
      <c r="CK1470">
        <v>23</v>
      </c>
      <c r="CL1470" t="s">
        <v>87</v>
      </c>
    </row>
    <row r="1471" spans="1:90" x14ac:dyDescent="0.3">
      <c r="A1471" t="s">
        <v>72</v>
      </c>
      <c r="B1471" t="s">
        <v>73</v>
      </c>
      <c r="C1471" t="s">
        <v>74</v>
      </c>
      <c r="E1471" t="str">
        <f>"080069838181"</f>
        <v>080069838181</v>
      </c>
      <c r="F1471" s="3">
        <v>46002</v>
      </c>
      <c r="G1471">
        <v>202609</v>
      </c>
      <c r="H1471" t="s">
        <v>75</v>
      </c>
      <c r="I1471" t="s">
        <v>76</v>
      </c>
      <c r="J1471" t="s">
        <v>77</v>
      </c>
      <c r="K1471" t="s">
        <v>78</v>
      </c>
      <c r="L1471" t="s">
        <v>176</v>
      </c>
      <c r="M1471" t="s">
        <v>177</v>
      </c>
      <c r="N1471" t="s">
        <v>2154</v>
      </c>
      <c r="O1471" t="s">
        <v>89</v>
      </c>
      <c r="P1471" t="str">
        <f>"4170072933                    "</f>
        <v xml:space="preserve">4170072933                    </v>
      </c>
      <c r="Q1471">
        <v>0</v>
      </c>
      <c r="R1471">
        <v>0</v>
      </c>
      <c r="S1471">
        <v>0</v>
      </c>
      <c r="T1471">
        <v>0</v>
      </c>
      <c r="U1471">
        <v>0</v>
      </c>
      <c r="V1471">
        <v>0</v>
      </c>
      <c r="W1471">
        <v>0</v>
      </c>
      <c r="X1471">
        <v>0</v>
      </c>
      <c r="Y1471">
        <v>0</v>
      </c>
      <c r="Z1471">
        <v>0</v>
      </c>
      <c r="AA1471">
        <v>0</v>
      </c>
      <c r="AB1471">
        <v>0</v>
      </c>
      <c r="AC1471">
        <v>0</v>
      </c>
      <c r="AD1471">
        <v>0</v>
      </c>
      <c r="AE1471">
        <v>0</v>
      </c>
      <c r="AF1471">
        <v>0</v>
      </c>
      <c r="AG1471">
        <v>0</v>
      </c>
      <c r="AH1471">
        <v>0</v>
      </c>
      <c r="AI1471">
        <v>0</v>
      </c>
      <c r="AJ1471">
        <v>0</v>
      </c>
      <c r="AK1471">
        <v>0</v>
      </c>
      <c r="AL1471">
        <v>0</v>
      </c>
      <c r="AM1471">
        <v>0</v>
      </c>
      <c r="AN1471">
        <v>0</v>
      </c>
      <c r="AO1471">
        <v>0</v>
      </c>
      <c r="AP1471">
        <v>0</v>
      </c>
      <c r="AQ1471">
        <v>19.940000000000001</v>
      </c>
      <c r="AR1471">
        <v>0</v>
      </c>
      <c r="AS1471">
        <v>0</v>
      </c>
      <c r="AT1471">
        <v>0</v>
      </c>
      <c r="AU1471">
        <v>0</v>
      </c>
      <c r="AV1471">
        <v>0</v>
      </c>
      <c r="AW1471">
        <v>0</v>
      </c>
      <c r="AX1471">
        <v>0</v>
      </c>
      <c r="AY1471">
        <v>0</v>
      </c>
      <c r="AZ1471">
        <v>0</v>
      </c>
      <c r="BA1471">
        <v>0</v>
      </c>
      <c r="BB1471">
        <v>0</v>
      </c>
      <c r="BC1471">
        <v>0</v>
      </c>
      <c r="BD1471">
        <v>0</v>
      </c>
      <c r="BE1471">
        <v>0</v>
      </c>
      <c r="BF1471">
        <v>0</v>
      </c>
      <c r="BG1471">
        <v>0</v>
      </c>
      <c r="BH1471">
        <v>1</v>
      </c>
      <c r="BI1471">
        <v>1</v>
      </c>
      <c r="BJ1471">
        <v>0.2</v>
      </c>
      <c r="BK1471">
        <v>1</v>
      </c>
      <c r="BL1471">
        <v>59.42</v>
      </c>
      <c r="BM1471">
        <v>8.91</v>
      </c>
      <c r="BN1471">
        <v>68.33</v>
      </c>
      <c r="BO1471">
        <v>68.33</v>
      </c>
      <c r="BQ1471" t="s">
        <v>2155</v>
      </c>
      <c r="BR1471" t="s">
        <v>82</v>
      </c>
      <c r="BS1471" t="s">
        <v>500</v>
      </c>
      <c r="BY1471">
        <v>1200</v>
      </c>
      <c r="CC1471" t="s">
        <v>177</v>
      </c>
      <c r="CD1471">
        <v>2094</v>
      </c>
      <c r="CE1471" t="s">
        <v>134</v>
      </c>
      <c r="CI1471">
        <v>1</v>
      </c>
      <c r="CJ1471" t="s">
        <v>500</v>
      </c>
      <c r="CK1471">
        <v>22</v>
      </c>
      <c r="CL1471" t="s">
        <v>87</v>
      </c>
    </row>
    <row r="1472" spans="1:90" x14ac:dyDescent="0.3">
      <c r="A1472" t="s">
        <v>72</v>
      </c>
      <c r="B1472" t="s">
        <v>73</v>
      </c>
      <c r="C1472" t="s">
        <v>74</v>
      </c>
      <c r="E1472" t="str">
        <f>"080069838237"</f>
        <v>080069838237</v>
      </c>
      <c r="F1472" s="3">
        <v>46002</v>
      </c>
      <c r="G1472">
        <v>202609</v>
      </c>
      <c r="H1472" t="s">
        <v>75</v>
      </c>
      <c r="I1472" t="s">
        <v>76</v>
      </c>
      <c r="J1472" t="s">
        <v>77</v>
      </c>
      <c r="K1472" t="s">
        <v>78</v>
      </c>
      <c r="L1472" t="s">
        <v>302</v>
      </c>
      <c r="M1472" t="s">
        <v>303</v>
      </c>
      <c r="N1472" t="s">
        <v>425</v>
      </c>
      <c r="O1472" t="s">
        <v>89</v>
      </c>
      <c r="P1472" t="str">
        <f>"4170072953                    "</f>
        <v xml:space="preserve">4170072953                    </v>
      </c>
      <c r="Q1472">
        <v>0</v>
      </c>
      <c r="R1472">
        <v>0</v>
      </c>
      <c r="S1472">
        <v>0</v>
      </c>
      <c r="T1472">
        <v>0</v>
      </c>
      <c r="U1472">
        <v>0</v>
      </c>
      <c r="V1472">
        <v>0</v>
      </c>
      <c r="W1472">
        <v>0</v>
      </c>
      <c r="X1472">
        <v>0</v>
      </c>
      <c r="Y1472">
        <v>0</v>
      </c>
      <c r="Z1472">
        <v>0</v>
      </c>
      <c r="AA1472">
        <v>0</v>
      </c>
      <c r="AB1472">
        <v>0</v>
      </c>
      <c r="AC1472">
        <v>0</v>
      </c>
      <c r="AD1472">
        <v>0</v>
      </c>
      <c r="AE1472">
        <v>0</v>
      </c>
      <c r="AF1472">
        <v>0</v>
      </c>
      <c r="AG1472">
        <v>0</v>
      </c>
      <c r="AH1472">
        <v>0</v>
      </c>
      <c r="AI1472">
        <v>0</v>
      </c>
      <c r="AJ1472">
        <v>0</v>
      </c>
      <c r="AK1472">
        <v>0</v>
      </c>
      <c r="AL1472">
        <v>0</v>
      </c>
      <c r="AM1472">
        <v>0</v>
      </c>
      <c r="AN1472">
        <v>0</v>
      </c>
      <c r="AO1472">
        <v>0</v>
      </c>
      <c r="AP1472">
        <v>0</v>
      </c>
      <c r="AQ1472">
        <v>25.52</v>
      </c>
      <c r="AR1472">
        <v>0</v>
      </c>
      <c r="AS1472">
        <v>0</v>
      </c>
      <c r="AT1472">
        <v>0</v>
      </c>
      <c r="AU1472">
        <v>0</v>
      </c>
      <c r="AV1472">
        <v>0</v>
      </c>
      <c r="AW1472">
        <v>0</v>
      </c>
      <c r="AX1472">
        <v>0</v>
      </c>
      <c r="AY1472">
        <v>0</v>
      </c>
      <c r="AZ1472">
        <v>0</v>
      </c>
      <c r="BA1472">
        <v>0</v>
      </c>
      <c r="BB1472">
        <v>0</v>
      </c>
      <c r="BC1472">
        <v>0</v>
      </c>
      <c r="BD1472">
        <v>0</v>
      </c>
      <c r="BE1472">
        <v>0</v>
      </c>
      <c r="BF1472">
        <v>0</v>
      </c>
      <c r="BG1472">
        <v>0</v>
      </c>
      <c r="BH1472">
        <v>1</v>
      </c>
      <c r="BI1472">
        <v>1.5</v>
      </c>
      <c r="BJ1472">
        <v>1.7</v>
      </c>
      <c r="BK1472">
        <v>2</v>
      </c>
      <c r="BL1472">
        <v>76.06</v>
      </c>
      <c r="BM1472">
        <v>11.41</v>
      </c>
      <c r="BN1472">
        <v>87.47</v>
      </c>
      <c r="BO1472">
        <v>87.47</v>
      </c>
      <c r="BQ1472" t="s">
        <v>426</v>
      </c>
      <c r="BR1472" t="s">
        <v>82</v>
      </c>
      <c r="BS1472" t="s">
        <v>500</v>
      </c>
      <c r="BY1472">
        <v>8509.35</v>
      </c>
      <c r="CC1472" t="s">
        <v>303</v>
      </c>
      <c r="CD1472" s="5" t="s">
        <v>350</v>
      </c>
      <c r="CE1472" t="s">
        <v>134</v>
      </c>
      <c r="CI1472">
        <v>1</v>
      </c>
      <c r="CJ1472" t="s">
        <v>500</v>
      </c>
      <c r="CK1472">
        <v>21</v>
      </c>
      <c r="CL1472" t="s">
        <v>87</v>
      </c>
    </row>
    <row r="1473" spans="1:90" x14ac:dyDescent="0.3">
      <c r="A1473" t="s">
        <v>72</v>
      </c>
      <c r="B1473" t="s">
        <v>73</v>
      </c>
      <c r="C1473" t="s">
        <v>74</v>
      </c>
      <c r="E1473" t="str">
        <f>"080069839218"</f>
        <v>080069839218</v>
      </c>
      <c r="F1473" s="3">
        <v>46002</v>
      </c>
      <c r="G1473">
        <v>202609</v>
      </c>
      <c r="H1473" t="s">
        <v>75</v>
      </c>
      <c r="I1473" t="s">
        <v>76</v>
      </c>
      <c r="J1473" t="s">
        <v>77</v>
      </c>
      <c r="K1473" t="s">
        <v>78</v>
      </c>
      <c r="L1473" t="s">
        <v>502</v>
      </c>
      <c r="M1473" t="s">
        <v>503</v>
      </c>
      <c r="N1473" t="s">
        <v>738</v>
      </c>
      <c r="O1473" t="s">
        <v>340</v>
      </c>
      <c r="P1473" t="str">
        <f>"4170072955                    "</f>
        <v xml:space="preserve">4170072955                    </v>
      </c>
      <c r="Q1473">
        <v>0</v>
      </c>
      <c r="R1473">
        <v>0</v>
      </c>
      <c r="S1473">
        <v>0</v>
      </c>
      <c r="T1473">
        <v>0</v>
      </c>
      <c r="U1473">
        <v>0</v>
      </c>
      <c r="V1473">
        <v>0</v>
      </c>
      <c r="W1473">
        <v>0</v>
      </c>
      <c r="X1473">
        <v>0</v>
      </c>
      <c r="Y1473">
        <v>0</v>
      </c>
      <c r="Z1473">
        <v>0</v>
      </c>
      <c r="AA1473">
        <v>0</v>
      </c>
      <c r="AB1473">
        <v>0</v>
      </c>
      <c r="AC1473">
        <v>0</v>
      </c>
      <c r="AD1473">
        <v>0</v>
      </c>
      <c r="AE1473">
        <v>0</v>
      </c>
      <c r="AF1473">
        <v>0</v>
      </c>
      <c r="AG1473">
        <v>0</v>
      </c>
      <c r="AH1473">
        <v>0</v>
      </c>
      <c r="AI1473">
        <v>0</v>
      </c>
      <c r="AJ1473">
        <v>0</v>
      </c>
      <c r="AK1473">
        <v>0</v>
      </c>
      <c r="AL1473">
        <v>0</v>
      </c>
      <c r="AM1473">
        <v>0</v>
      </c>
      <c r="AN1473">
        <v>0</v>
      </c>
      <c r="AO1473">
        <v>0</v>
      </c>
      <c r="AP1473">
        <v>0</v>
      </c>
      <c r="AQ1473">
        <v>24.42</v>
      </c>
      <c r="AR1473">
        <v>0</v>
      </c>
      <c r="AS1473">
        <v>0</v>
      </c>
      <c r="AT1473">
        <v>0</v>
      </c>
      <c r="AU1473">
        <v>0</v>
      </c>
      <c r="AV1473">
        <v>0</v>
      </c>
      <c r="AW1473">
        <v>0</v>
      </c>
      <c r="AX1473">
        <v>0</v>
      </c>
      <c r="AY1473">
        <v>0</v>
      </c>
      <c r="AZ1473">
        <v>0</v>
      </c>
      <c r="BA1473">
        <v>0</v>
      </c>
      <c r="BB1473">
        <v>0</v>
      </c>
      <c r="BC1473">
        <v>0</v>
      </c>
      <c r="BD1473">
        <v>0</v>
      </c>
      <c r="BE1473">
        <v>0</v>
      </c>
      <c r="BF1473">
        <v>0</v>
      </c>
      <c r="BG1473">
        <v>0</v>
      </c>
      <c r="BH1473">
        <v>1</v>
      </c>
      <c r="BI1473">
        <v>5</v>
      </c>
      <c r="BJ1473">
        <v>9.1999999999999993</v>
      </c>
      <c r="BK1473">
        <v>10</v>
      </c>
      <c r="BL1473">
        <v>72.77</v>
      </c>
      <c r="BM1473">
        <v>10.92</v>
      </c>
      <c r="BN1473">
        <v>83.69</v>
      </c>
      <c r="BO1473">
        <v>83.69</v>
      </c>
      <c r="BQ1473" t="s">
        <v>739</v>
      </c>
      <c r="BR1473" t="s">
        <v>82</v>
      </c>
      <c r="BS1473" t="s">
        <v>500</v>
      </c>
      <c r="BY1473">
        <v>45900</v>
      </c>
      <c r="CC1473" t="s">
        <v>503</v>
      </c>
      <c r="CD1473">
        <v>1559</v>
      </c>
      <c r="CE1473" t="s">
        <v>93</v>
      </c>
      <c r="CI1473">
        <v>1</v>
      </c>
      <c r="CJ1473" t="s">
        <v>500</v>
      </c>
      <c r="CK1473">
        <v>32</v>
      </c>
      <c r="CL1473" t="s">
        <v>87</v>
      </c>
    </row>
    <row r="1474" spans="1:90" x14ac:dyDescent="0.3">
      <c r="A1474" t="s">
        <v>72</v>
      </c>
      <c r="B1474" t="s">
        <v>73</v>
      </c>
      <c r="C1474" t="s">
        <v>74</v>
      </c>
      <c r="E1474" t="str">
        <f>"080069839448"</f>
        <v>080069839448</v>
      </c>
      <c r="F1474" s="3">
        <v>46002</v>
      </c>
      <c r="G1474">
        <v>202609</v>
      </c>
      <c r="H1474" t="s">
        <v>75</v>
      </c>
      <c r="I1474" t="s">
        <v>76</v>
      </c>
      <c r="J1474" t="s">
        <v>77</v>
      </c>
      <c r="K1474" t="s">
        <v>78</v>
      </c>
      <c r="L1474" t="s">
        <v>176</v>
      </c>
      <c r="M1474" t="s">
        <v>177</v>
      </c>
      <c r="N1474" t="s">
        <v>1701</v>
      </c>
      <c r="O1474" t="s">
        <v>89</v>
      </c>
      <c r="P1474" t="str">
        <f>"4170072944                    "</f>
        <v xml:space="preserve">4170072944                    </v>
      </c>
      <c r="Q1474">
        <v>0</v>
      </c>
      <c r="R1474">
        <v>0</v>
      </c>
      <c r="S1474">
        <v>0</v>
      </c>
      <c r="T1474">
        <v>0</v>
      </c>
      <c r="U1474">
        <v>0</v>
      </c>
      <c r="V1474">
        <v>0</v>
      </c>
      <c r="W1474">
        <v>0</v>
      </c>
      <c r="X1474">
        <v>0</v>
      </c>
      <c r="Y1474">
        <v>0</v>
      </c>
      <c r="Z1474">
        <v>0</v>
      </c>
      <c r="AA1474">
        <v>0</v>
      </c>
      <c r="AB1474">
        <v>0</v>
      </c>
      <c r="AC1474">
        <v>0</v>
      </c>
      <c r="AD1474">
        <v>0</v>
      </c>
      <c r="AE1474">
        <v>0</v>
      </c>
      <c r="AF1474">
        <v>0</v>
      </c>
      <c r="AG1474">
        <v>0</v>
      </c>
      <c r="AH1474">
        <v>0</v>
      </c>
      <c r="AI1474">
        <v>0</v>
      </c>
      <c r="AJ1474">
        <v>0</v>
      </c>
      <c r="AK1474">
        <v>0</v>
      </c>
      <c r="AL1474">
        <v>0</v>
      </c>
      <c r="AM1474">
        <v>0</v>
      </c>
      <c r="AN1474">
        <v>0</v>
      </c>
      <c r="AO1474">
        <v>0</v>
      </c>
      <c r="AP1474">
        <v>0</v>
      </c>
      <c r="AQ1474">
        <v>19.940000000000001</v>
      </c>
      <c r="AR1474">
        <v>0</v>
      </c>
      <c r="AS1474">
        <v>0</v>
      </c>
      <c r="AT1474">
        <v>0</v>
      </c>
      <c r="AU1474">
        <v>0</v>
      </c>
      <c r="AV1474">
        <v>0</v>
      </c>
      <c r="AW1474">
        <v>0</v>
      </c>
      <c r="AX1474">
        <v>0</v>
      </c>
      <c r="AY1474">
        <v>0</v>
      </c>
      <c r="AZ1474">
        <v>0</v>
      </c>
      <c r="BA1474">
        <v>0</v>
      </c>
      <c r="BB1474">
        <v>0</v>
      </c>
      <c r="BC1474">
        <v>0</v>
      </c>
      <c r="BD1474">
        <v>0</v>
      </c>
      <c r="BE1474">
        <v>0</v>
      </c>
      <c r="BF1474">
        <v>0</v>
      </c>
      <c r="BG1474">
        <v>0</v>
      </c>
      <c r="BH1474">
        <v>1</v>
      </c>
      <c r="BI1474">
        <v>1</v>
      </c>
      <c r="BJ1474">
        <v>0.2</v>
      </c>
      <c r="BK1474">
        <v>1</v>
      </c>
      <c r="BL1474">
        <v>59.42</v>
      </c>
      <c r="BM1474">
        <v>8.91</v>
      </c>
      <c r="BN1474">
        <v>68.33</v>
      </c>
      <c r="BO1474">
        <v>68.33</v>
      </c>
      <c r="BQ1474" t="s">
        <v>1702</v>
      </c>
      <c r="BR1474" t="s">
        <v>82</v>
      </c>
      <c r="BS1474" t="s">
        <v>500</v>
      </c>
      <c r="BY1474">
        <v>1200</v>
      </c>
      <c r="CC1474" t="s">
        <v>177</v>
      </c>
      <c r="CD1474">
        <v>2091</v>
      </c>
      <c r="CE1474" t="s">
        <v>134</v>
      </c>
      <c r="CI1474">
        <v>1</v>
      </c>
      <c r="CJ1474" t="s">
        <v>500</v>
      </c>
      <c r="CK1474">
        <v>22</v>
      </c>
      <c r="CL1474" t="s">
        <v>87</v>
      </c>
    </row>
    <row r="1475" spans="1:90" x14ac:dyDescent="0.3">
      <c r="A1475" t="s">
        <v>72</v>
      </c>
      <c r="B1475" t="s">
        <v>73</v>
      </c>
      <c r="C1475" t="s">
        <v>74</v>
      </c>
      <c r="E1475" t="str">
        <f>"080069839519"</f>
        <v>080069839519</v>
      </c>
      <c r="F1475" s="3">
        <v>46002</v>
      </c>
      <c r="G1475">
        <v>202609</v>
      </c>
      <c r="H1475" t="s">
        <v>75</v>
      </c>
      <c r="I1475" t="s">
        <v>76</v>
      </c>
      <c r="J1475" t="s">
        <v>77</v>
      </c>
      <c r="K1475" t="s">
        <v>78</v>
      </c>
      <c r="L1475" t="s">
        <v>128</v>
      </c>
      <c r="M1475" t="s">
        <v>129</v>
      </c>
      <c r="N1475" t="s">
        <v>2156</v>
      </c>
      <c r="O1475" t="s">
        <v>89</v>
      </c>
      <c r="P1475" t="str">
        <f>"4170072974                    "</f>
        <v xml:space="preserve">4170072974                    </v>
      </c>
      <c r="Q1475">
        <v>0</v>
      </c>
      <c r="R1475">
        <v>0</v>
      </c>
      <c r="S1475">
        <v>0</v>
      </c>
      <c r="T1475">
        <v>0</v>
      </c>
      <c r="U1475">
        <v>0</v>
      </c>
      <c r="V1475">
        <v>0</v>
      </c>
      <c r="W1475">
        <v>0</v>
      </c>
      <c r="X1475">
        <v>0</v>
      </c>
      <c r="Y1475">
        <v>0</v>
      </c>
      <c r="Z1475">
        <v>0</v>
      </c>
      <c r="AA1475">
        <v>0</v>
      </c>
      <c r="AB1475">
        <v>0</v>
      </c>
      <c r="AC1475">
        <v>0</v>
      </c>
      <c r="AD1475">
        <v>0</v>
      </c>
      <c r="AE1475">
        <v>0</v>
      </c>
      <c r="AF1475">
        <v>0</v>
      </c>
      <c r="AG1475">
        <v>0</v>
      </c>
      <c r="AH1475">
        <v>0</v>
      </c>
      <c r="AI1475">
        <v>0</v>
      </c>
      <c r="AJ1475">
        <v>0</v>
      </c>
      <c r="AK1475">
        <v>0</v>
      </c>
      <c r="AL1475">
        <v>0</v>
      </c>
      <c r="AM1475">
        <v>0</v>
      </c>
      <c r="AN1475">
        <v>0</v>
      </c>
      <c r="AO1475">
        <v>0</v>
      </c>
      <c r="AP1475">
        <v>0</v>
      </c>
      <c r="AQ1475">
        <v>25.52</v>
      </c>
      <c r="AR1475">
        <v>0</v>
      </c>
      <c r="AS1475">
        <v>0</v>
      </c>
      <c r="AT1475">
        <v>0</v>
      </c>
      <c r="AU1475">
        <v>0</v>
      </c>
      <c r="AV1475">
        <v>0</v>
      </c>
      <c r="AW1475">
        <v>0</v>
      </c>
      <c r="AX1475">
        <v>0</v>
      </c>
      <c r="AY1475">
        <v>0</v>
      </c>
      <c r="AZ1475">
        <v>0</v>
      </c>
      <c r="BA1475">
        <v>0</v>
      </c>
      <c r="BB1475">
        <v>0</v>
      </c>
      <c r="BC1475">
        <v>0</v>
      </c>
      <c r="BD1475">
        <v>0</v>
      </c>
      <c r="BE1475">
        <v>0</v>
      </c>
      <c r="BF1475">
        <v>0</v>
      </c>
      <c r="BG1475">
        <v>0</v>
      </c>
      <c r="BH1475">
        <v>1</v>
      </c>
      <c r="BI1475">
        <v>1</v>
      </c>
      <c r="BJ1475">
        <v>0.2</v>
      </c>
      <c r="BK1475">
        <v>1</v>
      </c>
      <c r="BL1475">
        <v>76.06</v>
      </c>
      <c r="BM1475">
        <v>11.41</v>
      </c>
      <c r="BN1475">
        <v>87.47</v>
      </c>
      <c r="BO1475">
        <v>87.47</v>
      </c>
      <c r="BQ1475" t="s">
        <v>2157</v>
      </c>
      <c r="BR1475" t="s">
        <v>82</v>
      </c>
      <c r="BS1475" t="s">
        <v>500</v>
      </c>
      <c r="BY1475">
        <v>1200</v>
      </c>
      <c r="CC1475" t="s">
        <v>129</v>
      </c>
      <c r="CD1475">
        <v>5201</v>
      </c>
      <c r="CE1475" t="s">
        <v>134</v>
      </c>
      <c r="CI1475">
        <v>5</v>
      </c>
      <c r="CJ1475" t="s">
        <v>500</v>
      </c>
      <c r="CK1475">
        <v>21</v>
      </c>
      <c r="CL1475" t="s">
        <v>87</v>
      </c>
    </row>
    <row r="1476" spans="1:90" x14ac:dyDescent="0.3">
      <c r="A1476" t="s">
        <v>72</v>
      </c>
      <c r="B1476" t="s">
        <v>73</v>
      </c>
      <c r="C1476" t="s">
        <v>74</v>
      </c>
      <c r="E1476" t="str">
        <f>"080069839580"</f>
        <v>080069839580</v>
      </c>
      <c r="F1476" s="3">
        <v>46002</v>
      </c>
      <c r="G1476">
        <v>202609</v>
      </c>
      <c r="H1476" t="s">
        <v>75</v>
      </c>
      <c r="I1476" t="s">
        <v>76</v>
      </c>
      <c r="J1476" t="s">
        <v>77</v>
      </c>
      <c r="K1476" t="s">
        <v>78</v>
      </c>
      <c r="L1476" t="s">
        <v>528</v>
      </c>
      <c r="M1476" t="s">
        <v>529</v>
      </c>
      <c r="N1476" t="s">
        <v>2151</v>
      </c>
      <c r="O1476" t="s">
        <v>89</v>
      </c>
      <c r="P1476" t="str">
        <f>"4170072943                    "</f>
        <v xml:space="preserve">4170072943                    </v>
      </c>
      <c r="Q1476">
        <v>0</v>
      </c>
      <c r="R1476">
        <v>0</v>
      </c>
      <c r="S1476">
        <v>0</v>
      </c>
      <c r="T1476">
        <v>0</v>
      </c>
      <c r="U1476">
        <v>0</v>
      </c>
      <c r="V1476">
        <v>0</v>
      </c>
      <c r="W1476">
        <v>0</v>
      </c>
      <c r="X1476">
        <v>0</v>
      </c>
      <c r="Y1476">
        <v>0</v>
      </c>
      <c r="Z1476">
        <v>0</v>
      </c>
      <c r="AA1476">
        <v>0</v>
      </c>
      <c r="AB1476">
        <v>0</v>
      </c>
      <c r="AC1476">
        <v>0</v>
      </c>
      <c r="AD1476">
        <v>0</v>
      </c>
      <c r="AE1476">
        <v>0</v>
      </c>
      <c r="AF1476">
        <v>0</v>
      </c>
      <c r="AG1476">
        <v>0</v>
      </c>
      <c r="AH1476">
        <v>0</v>
      </c>
      <c r="AI1476">
        <v>0</v>
      </c>
      <c r="AJ1476">
        <v>0</v>
      </c>
      <c r="AK1476">
        <v>0</v>
      </c>
      <c r="AL1476">
        <v>0</v>
      </c>
      <c r="AM1476">
        <v>0</v>
      </c>
      <c r="AN1476">
        <v>0</v>
      </c>
      <c r="AO1476">
        <v>0</v>
      </c>
      <c r="AP1476">
        <v>0</v>
      </c>
      <c r="AQ1476">
        <v>49.45</v>
      </c>
      <c r="AR1476">
        <v>0</v>
      </c>
      <c r="AS1476">
        <v>0</v>
      </c>
      <c r="AT1476">
        <v>0</v>
      </c>
      <c r="AU1476">
        <v>0</v>
      </c>
      <c r="AV1476">
        <v>0</v>
      </c>
      <c r="AW1476">
        <v>17.41</v>
      </c>
      <c r="AX1476">
        <v>0</v>
      </c>
      <c r="AY1476">
        <v>0</v>
      </c>
      <c r="AZ1476">
        <v>0</v>
      </c>
      <c r="BA1476">
        <v>0</v>
      </c>
      <c r="BB1476">
        <v>0</v>
      </c>
      <c r="BC1476">
        <v>0</v>
      </c>
      <c r="BD1476">
        <v>0</v>
      </c>
      <c r="BE1476">
        <v>0</v>
      </c>
      <c r="BF1476">
        <v>0</v>
      </c>
      <c r="BG1476">
        <v>0</v>
      </c>
      <c r="BH1476">
        <v>1</v>
      </c>
      <c r="BI1476">
        <v>0.2</v>
      </c>
      <c r="BJ1476">
        <v>0.6</v>
      </c>
      <c r="BK1476">
        <v>1</v>
      </c>
      <c r="BL1476">
        <v>164.79</v>
      </c>
      <c r="BM1476">
        <v>24.72</v>
      </c>
      <c r="BN1476">
        <v>189.51</v>
      </c>
      <c r="BO1476">
        <v>189.51</v>
      </c>
      <c r="BQ1476" t="s">
        <v>2152</v>
      </c>
      <c r="BR1476" t="s">
        <v>82</v>
      </c>
      <c r="BS1476" t="s">
        <v>500</v>
      </c>
      <c r="BY1476">
        <v>3187.68</v>
      </c>
      <c r="BZ1476" t="s">
        <v>30</v>
      </c>
      <c r="CC1476" t="s">
        <v>529</v>
      </c>
      <c r="CD1476" s="5" t="s">
        <v>2153</v>
      </c>
      <c r="CE1476" t="s">
        <v>134</v>
      </c>
      <c r="CI1476">
        <v>1</v>
      </c>
      <c r="CJ1476" t="s">
        <v>500</v>
      </c>
      <c r="CK1476">
        <v>23</v>
      </c>
      <c r="CL1476" t="s">
        <v>87</v>
      </c>
    </row>
    <row r="1477" spans="1:90" x14ac:dyDescent="0.3">
      <c r="A1477" t="s">
        <v>72</v>
      </c>
      <c r="B1477" t="s">
        <v>73</v>
      </c>
      <c r="C1477" t="s">
        <v>74</v>
      </c>
      <c r="E1477" t="str">
        <f>"080069839964"</f>
        <v>080069839964</v>
      </c>
      <c r="F1477" s="3">
        <v>46002</v>
      </c>
      <c r="G1477">
        <v>202609</v>
      </c>
      <c r="H1477" t="s">
        <v>75</v>
      </c>
      <c r="I1477" t="s">
        <v>76</v>
      </c>
      <c r="J1477" t="s">
        <v>77</v>
      </c>
      <c r="K1477" t="s">
        <v>78</v>
      </c>
      <c r="L1477" t="s">
        <v>128</v>
      </c>
      <c r="M1477" t="s">
        <v>129</v>
      </c>
      <c r="N1477" t="s">
        <v>183</v>
      </c>
      <c r="O1477" t="s">
        <v>89</v>
      </c>
      <c r="P1477" t="str">
        <f>"4170072938                    "</f>
        <v xml:space="preserve">4170072938                    </v>
      </c>
      <c r="Q1477">
        <v>0</v>
      </c>
      <c r="R1477">
        <v>0</v>
      </c>
      <c r="S1477">
        <v>0</v>
      </c>
      <c r="T1477">
        <v>0</v>
      </c>
      <c r="U1477">
        <v>0</v>
      </c>
      <c r="V1477">
        <v>0</v>
      </c>
      <c r="W1477">
        <v>0</v>
      </c>
      <c r="X1477">
        <v>0</v>
      </c>
      <c r="Y1477">
        <v>0</v>
      </c>
      <c r="Z1477">
        <v>0</v>
      </c>
      <c r="AA1477">
        <v>0</v>
      </c>
      <c r="AB1477">
        <v>0</v>
      </c>
      <c r="AC1477">
        <v>0</v>
      </c>
      <c r="AD1477">
        <v>0</v>
      </c>
      <c r="AE1477">
        <v>0</v>
      </c>
      <c r="AF1477">
        <v>0</v>
      </c>
      <c r="AG1477">
        <v>0</v>
      </c>
      <c r="AH1477">
        <v>0</v>
      </c>
      <c r="AI1477">
        <v>0</v>
      </c>
      <c r="AJ1477">
        <v>0</v>
      </c>
      <c r="AK1477">
        <v>0</v>
      </c>
      <c r="AL1477">
        <v>0</v>
      </c>
      <c r="AM1477">
        <v>0</v>
      </c>
      <c r="AN1477">
        <v>0</v>
      </c>
      <c r="AO1477">
        <v>0</v>
      </c>
      <c r="AP1477">
        <v>0</v>
      </c>
      <c r="AQ1477">
        <v>82.93</v>
      </c>
      <c r="AR1477">
        <v>0</v>
      </c>
      <c r="AS1477">
        <v>0</v>
      </c>
      <c r="AT1477">
        <v>0</v>
      </c>
      <c r="AU1477">
        <v>0</v>
      </c>
      <c r="AV1477">
        <v>0</v>
      </c>
      <c r="AW1477">
        <v>0</v>
      </c>
      <c r="AX1477">
        <v>0</v>
      </c>
      <c r="AY1477">
        <v>0</v>
      </c>
      <c r="AZ1477">
        <v>0</v>
      </c>
      <c r="BA1477">
        <v>0</v>
      </c>
      <c r="BB1477">
        <v>0</v>
      </c>
      <c r="BC1477">
        <v>0</v>
      </c>
      <c r="BD1477">
        <v>0</v>
      </c>
      <c r="BE1477">
        <v>0</v>
      </c>
      <c r="BF1477">
        <v>0</v>
      </c>
      <c r="BG1477">
        <v>0</v>
      </c>
      <c r="BH1477">
        <v>1</v>
      </c>
      <c r="BI1477">
        <v>4</v>
      </c>
      <c r="BJ1477">
        <v>6.5</v>
      </c>
      <c r="BK1477">
        <v>6.5</v>
      </c>
      <c r="BL1477">
        <v>247.14</v>
      </c>
      <c r="BM1477">
        <v>37.07</v>
      </c>
      <c r="BN1477">
        <v>284.20999999999998</v>
      </c>
      <c r="BO1477">
        <v>284.20999999999998</v>
      </c>
      <c r="BQ1477" t="s">
        <v>184</v>
      </c>
      <c r="BR1477" t="s">
        <v>82</v>
      </c>
      <c r="BS1477" t="s">
        <v>500</v>
      </c>
      <c r="BY1477">
        <v>32400</v>
      </c>
      <c r="CC1477" t="s">
        <v>129</v>
      </c>
      <c r="CD1477">
        <v>5201</v>
      </c>
      <c r="CE1477" t="s">
        <v>93</v>
      </c>
      <c r="CI1477">
        <v>1</v>
      </c>
      <c r="CJ1477" t="s">
        <v>500</v>
      </c>
      <c r="CK1477">
        <v>21</v>
      </c>
      <c r="CL1477" t="s">
        <v>87</v>
      </c>
    </row>
    <row r="1478" spans="1:90" x14ac:dyDescent="0.3">
      <c r="A1478" t="s">
        <v>72</v>
      </c>
      <c r="B1478" t="s">
        <v>73</v>
      </c>
      <c r="C1478" t="s">
        <v>74</v>
      </c>
      <c r="E1478" t="str">
        <f>"080069840016"</f>
        <v>080069840016</v>
      </c>
      <c r="F1478" s="3">
        <v>46002</v>
      </c>
      <c r="G1478">
        <v>202609</v>
      </c>
      <c r="H1478" t="s">
        <v>75</v>
      </c>
      <c r="I1478" t="s">
        <v>76</v>
      </c>
      <c r="J1478" t="s">
        <v>77</v>
      </c>
      <c r="K1478" t="s">
        <v>78</v>
      </c>
      <c r="L1478" t="s">
        <v>128</v>
      </c>
      <c r="M1478" t="s">
        <v>129</v>
      </c>
      <c r="N1478" t="s">
        <v>383</v>
      </c>
      <c r="O1478" t="s">
        <v>89</v>
      </c>
      <c r="P1478" t="str">
        <f>"4170073043                    "</f>
        <v xml:space="preserve">4170073043                    </v>
      </c>
      <c r="Q1478">
        <v>0</v>
      </c>
      <c r="R1478">
        <v>0</v>
      </c>
      <c r="S1478">
        <v>0</v>
      </c>
      <c r="T1478">
        <v>0</v>
      </c>
      <c r="U1478">
        <v>0</v>
      </c>
      <c r="V1478">
        <v>0</v>
      </c>
      <c r="W1478">
        <v>0</v>
      </c>
      <c r="X1478">
        <v>0</v>
      </c>
      <c r="Y1478">
        <v>0</v>
      </c>
      <c r="Z1478">
        <v>0</v>
      </c>
      <c r="AA1478">
        <v>0</v>
      </c>
      <c r="AB1478">
        <v>0</v>
      </c>
      <c r="AC1478">
        <v>0</v>
      </c>
      <c r="AD1478">
        <v>0</v>
      </c>
      <c r="AE1478">
        <v>0</v>
      </c>
      <c r="AF1478">
        <v>0</v>
      </c>
      <c r="AG1478">
        <v>0</v>
      </c>
      <c r="AH1478">
        <v>0</v>
      </c>
      <c r="AI1478">
        <v>0</v>
      </c>
      <c r="AJ1478">
        <v>0</v>
      </c>
      <c r="AK1478">
        <v>0</v>
      </c>
      <c r="AL1478">
        <v>0</v>
      </c>
      <c r="AM1478">
        <v>0</v>
      </c>
      <c r="AN1478">
        <v>0</v>
      </c>
      <c r="AO1478">
        <v>0</v>
      </c>
      <c r="AP1478">
        <v>0</v>
      </c>
      <c r="AQ1478">
        <v>25.52</v>
      </c>
      <c r="AR1478">
        <v>0</v>
      </c>
      <c r="AS1478">
        <v>0</v>
      </c>
      <c r="AT1478">
        <v>0</v>
      </c>
      <c r="AU1478">
        <v>0</v>
      </c>
      <c r="AV1478">
        <v>0</v>
      </c>
      <c r="AW1478">
        <v>0</v>
      </c>
      <c r="AX1478">
        <v>0</v>
      </c>
      <c r="AY1478">
        <v>0</v>
      </c>
      <c r="AZ1478">
        <v>0</v>
      </c>
      <c r="BA1478">
        <v>0</v>
      </c>
      <c r="BB1478">
        <v>0</v>
      </c>
      <c r="BC1478">
        <v>0</v>
      </c>
      <c r="BD1478">
        <v>0</v>
      </c>
      <c r="BE1478">
        <v>0</v>
      </c>
      <c r="BF1478">
        <v>0</v>
      </c>
      <c r="BG1478">
        <v>0</v>
      </c>
      <c r="BH1478">
        <v>1</v>
      </c>
      <c r="BI1478">
        <v>1</v>
      </c>
      <c r="BJ1478">
        <v>0.2</v>
      </c>
      <c r="BK1478">
        <v>1</v>
      </c>
      <c r="BL1478">
        <v>76.06</v>
      </c>
      <c r="BM1478">
        <v>11.41</v>
      </c>
      <c r="BN1478">
        <v>87.47</v>
      </c>
      <c r="BO1478">
        <v>87.47</v>
      </c>
      <c r="BQ1478" t="s">
        <v>384</v>
      </c>
      <c r="BR1478" t="s">
        <v>82</v>
      </c>
      <c r="BS1478" t="s">
        <v>500</v>
      </c>
      <c r="BY1478">
        <v>1200</v>
      </c>
      <c r="CC1478" t="s">
        <v>129</v>
      </c>
      <c r="CD1478">
        <v>5201</v>
      </c>
      <c r="CE1478" t="s">
        <v>134</v>
      </c>
      <c r="CI1478">
        <v>1</v>
      </c>
      <c r="CJ1478" t="s">
        <v>500</v>
      </c>
      <c r="CK1478">
        <v>21</v>
      </c>
      <c r="CL1478" t="s">
        <v>87</v>
      </c>
    </row>
    <row r="1479" spans="1:90" x14ac:dyDescent="0.3">
      <c r="A1479" t="s">
        <v>72</v>
      </c>
      <c r="B1479" t="s">
        <v>73</v>
      </c>
      <c r="C1479" t="s">
        <v>74</v>
      </c>
      <c r="E1479" t="str">
        <f>"080069840022"</f>
        <v>080069840022</v>
      </c>
      <c r="F1479" s="3">
        <v>46002</v>
      </c>
      <c r="G1479">
        <v>202609</v>
      </c>
      <c r="H1479" t="s">
        <v>75</v>
      </c>
      <c r="I1479" t="s">
        <v>76</v>
      </c>
      <c r="J1479" t="s">
        <v>77</v>
      </c>
      <c r="K1479" t="s">
        <v>78</v>
      </c>
      <c r="L1479" t="s">
        <v>100</v>
      </c>
      <c r="M1479" t="s">
        <v>101</v>
      </c>
      <c r="N1479" t="s">
        <v>777</v>
      </c>
      <c r="O1479" t="s">
        <v>89</v>
      </c>
      <c r="P1479" t="str">
        <f>"4170073057                    "</f>
        <v xml:space="preserve">4170073057                    </v>
      </c>
      <c r="Q1479">
        <v>0</v>
      </c>
      <c r="R1479">
        <v>0</v>
      </c>
      <c r="S1479">
        <v>0</v>
      </c>
      <c r="T1479">
        <v>0</v>
      </c>
      <c r="U1479">
        <v>0</v>
      </c>
      <c r="V1479">
        <v>0</v>
      </c>
      <c r="W1479">
        <v>0</v>
      </c>
      <c r="X1479">
        <v>0</v>
      </c>
      <c r="Y1479">
        <v>0</v>
      </c>
      <c r="Z1479">
        <v>0</v>
      </c>
      <c r="AA1479">
        <v>0</v>
      </c>
      <c r="AB1479">
        <v>0</v>
      </c>
      <c r="AC1479">
        <v>0</v>
      </c>
      <c r="AD1479">
        <v>0</v>
      </c>
      <c r="AE1479">
        <v>0</v>
      </c>
      <c r="AF1479">
        <v>0</v>
      </c>
      <c r="AG1479">
        <v>0</v>
      </c>
      <c r="AH1479">
        <v>0</v>
      </c>
      <c r="AI1479">
        <v>0</v>
      </c>
      <c r="AJ1479">
        <v>0</v>
      </c>
      <c r="AK1479">
        <v>0</v>
      </c>
      <c r="AL1479">
        <v>0</v>
      </c>
      <c r="AM1479">
        <v>0</v>
      </c>
      <c r="AN1479">
        <v>0</v>
      </c>
      <c r="AO1479">
        <v>0</v>
      </c>
      <c r="AP1479">
        <v>0</v>
      </c>
      <c r="AQ1479">
        <v>25.52</v>
      </c>
      <c r="AR1479">
        <v>0</v>
      </c>
      <c r="AS1479">
        <v>0</v>
      </c>
      <c r="AT1479">
        <v>0</v>
      </c>
      <c r="AU1479">
        <v>0</v>
      </c>
      <c r="AV1479">
        <v>0</v>
      </c>
      <c r="AW1479">
        <v>0</v>
      </c>
      <c r="AX1479">
        <v>0</v>
      </c>
      <c r="AY1479">
        <v>0</v>
      </c>
      <c r="AZ1479">
        <v>0</v>
      </c>
      <c r="BA1479">
        <v>0</v>
      </c>
      <c r="BB1479">
        <v>0</v>
      </c>
      <c r="BC1479">
        <v>0</v>
      </c>
      <c r="BD1479">
        <v>0</v>
      </c>
      <c r="BE1479">
        <v>0</v>
      </c>
      <c r="BF1479">
        <v>0</v>
      </c>
      <c r="BG1479">
        <v>0</v>
      </c>
      <c r="BH1479">
        <v>1</v>
      </c>
      <c r="BI1479">
        <v>1</v>
      </c>
      <c r="BJ1479">
        <v>0.2</v>
      </c>
      <c r="BK1479">
        <v>1</v>
      </c>
      <c r="BL1479">
        <v>76.06</v>
      </c>
      <c r="BM1479">
        <v>11.41</v>
      </c>
      <c r="BN1479">
        <v>87.47</v>
      </c>
      <c r="BO1479">
        <v>87.47</v>
      </c>
      <c r="BQ1479" t="s">
        <v>778</v>
      </c>
      <c r="BR1479" t="s">
        <v>82</v>
      </c>
      <c r="BS1479" t="s">
        <v>500</v>
      </c>
      <c r="BY1479">
        <v>1200</v>
      </c>
      <c r="CC1479" t="s">
        <v>101</v>
      </c>
      <c r="CD1479">
        <v>4052</v>
      </c>
      <c r="CE1479" t="s">
        <v>134</v>
      </c>
      <c r="CI1479">
        <v>1</v>
      </c>
      <c r="CJ1479" t="s">
        <v>500</v>
      </c>
      <c r="CK1479">
        <v>21</v>
      </c>
      <c r="CL1479" t="s">
        <v>87</v>
      </c>
    </row>
    <row r="1480" spans="1:90" x14ac:dyDescent="0.3">
      <c r="A1480" t="s">
        <v>72</v>
      </c>
      <c r="B1480" t="s">
        <v>73</v>
      </c>
      <c r="C1480" t="s">
        <v>74</v>
      </c>
      <c r="E1480" t="str">
        <f>"080069840050"</f>
        <v>080069840050</v>
      </c>
      <c r="F1480" s="3">
        <v>46002</v>
      </c>
      <c r="G1480">
        <v>202609</v>
      </c>
      <c r="H1480" t="s">
        <v>75</v>
      </c>
      <c r="I1480" t="s">
        <v>76</v>
      </c>
      <c r="J1480" t="s">
        <v>77</v>
      </c>
      <c r="K1480" t="s">
        <v>78</v>
      </c>
      <c r="L1480" t="s">
        <v>141</v>
      </c>
      <c r="M1480" t="s">
        <v>142</v>
      </c>
      <c r="N1480" t="s">
        <v>1630</v>
      </c>
      <c r="O1480" t="s">
        <v>89</v>
      </c>
      <c r="P1480" t="str">
        <f>"4170073126                    "</f>
        <v xml:space="preserve">4170073126                    </v>
      </c>
      <c r="Q1480">
        <v>0</v>
      </c>
      <c r="R1480">
        <v>0</v>
      </c>
      <c r="S1480">
        <v>0</v>
      </c>
      <c r="T1480">
        <v>0</v>
      </c>
      <c r="U1480">
        <v>0</v>
      </c>
      <c r="V1480">
        <v>0</v>
      </c>
      <c r="W1480">
        <v>0</v>
      </c>
      <c r="X1480">
        <v>0</v>
      </c>
      <c r="Y1480">
        <v>0</v>
      </c>
      <c r="Z1480">
        <v>0</v>
      </c>
      <c r="AA1480">
        <v>0</v>
      </c>
      <c r="AB1480">
        <v>0</v>
      </c>
      <c r="AC1480">
        <v>0</v>
      </c>
      <c r="AD1480">
        <v>0</v>
      </c>
      <c r="AE1480">
        <v>0</v>
      </c>
      <c r="AF1480">
        <v>0</v>
      </c>
      <c r="AG1480">
        <v>0</v>
      </c>
      <c r="AH1480">
        <v>0</v>
      </c>
      <c r="AI1480">
        <v>0</v>
      </c>
      <c r="AJ1480">
        <v>0</v>
      </c>
      <c r="AK1480">
        <v>0</v>
      </c>
      <c r="AL1480">
        <v>0</v>
      </c>
      <c r="AM1480">
        <v>0</v>
      </c>
      <c r="AN1480">
        <v>0</v>
      </c>
      <c r="AO1480">
        <v>0</v>
      </c>
      <c r="AP1480">
        <v>0</v>
      </c>
      <c r="AQ1480">
        <v>25.52</v>
      </c>
      <c r="AR1480">
        <v>0</v>
      </c>
      <c r="AS1480">
        <v>0</v>
      </c>
      <c r="AT1480">
        <v>0</v>
      </c>
      <c r="AU1480">
        <v>0</v>
      </c>
      <c r="AV1480">
        <v>0</v>
      </c>
      <c r="AW1480">
        <v>0</v>
      </c>
      <c r="AX1480">
        <v>0</v>
      </c>
      <c r="AY1480">
        <v>0</v>
      </c>
      <c r="AZ1480">
        <v>0</v>
      </c>
      <c r="BA1480">
        <v>0</v>
      </c>
      <c r="BB1480">
        <v>0</v>
      </c>
      <c r="BC1480">
        <v>0</v>
      </c>
      <c r="BD1480">
        <v>0</v>
      </c>
      <c r="BE1480">
        <v>0</v>
      </c>
      <c r="BF1480">
        <v>0</v>
      </c>
      <c r="BG1480">
        <v>0</v>
      </c>
      <c r="BH1480">
        <v>1</v>
      </c>
      <c r="BI1480">
        <v>1</v>
      </c>
      <c r="BJ1480">
        <v>0.2</v>
      </c>
      <c r="BK1480">
        <v>1</v>
      </c>
      <c r="BL1480">
        <v>76.06</v>
      </c>
      <c r="BM1480">
        <v>11.41</v>
      </c>
      <c r="BN1480">
        <v>87.47</v>
      </c>
      <c r="BO1480">
        <v>87.47</v>
      </c>
      <c r="BQ1480" t="s">
        <v>1631</v>
      </c>
      <c r="BR1480" t="s">
        <v>82</v>
      </c>
      <c r="BS1480" t="s">
        <v>500</v>
      </c>
      <c r="BY1480">
        <v>1200</v>
      </c>
      <c r="CC1480" t="s">
        <v>142</v>
      </c>
      <c r="CD1480">
        <v>6100</v>
      </c>
      <c r="CE1480" t="s">
        <v>134</v>
      </c>
      <c r="CI1480">
        <v>1</v>
      </c>
      <c r="CJ1480" t="s">
        <v>500</v>
      </c>
      <c r="CK1480">
        <v>21</v>
      </c>
      <c r="CL1480" t="s">
        <v>87</v>
      </c>
    </row>
    <row r="1481" spans="1:90" x14ac:dyDescent="0.3">
      <c r="A1481" t="s">
        <v>72</v>
      </c>
      <c r="B1481" t="s">
        <v>73</v>
      </c>
      <c r="C1481" t="s">
        <v>74</v>
      </c>
      <c r="E1481" t="str">
        <f>"080069840085"</f>
        <v>080069840085</v>
      </c>
      <c r="F1481" s="3">
        <v>46002</v>
      </c>
      <c r="G1481">
        <v>202609</v>
      </c>
      <c r="H1481" t="s">
        <v>75</v>
      </c>
      <c r="I1481" t="s">
        <v>76</v>
      </c>
      <c r="J1481" t="s">
        <v>77</v>
      </c>
      <c r="K1481" t="s">
        <v>78</v>
      </c>
      <c r="L1481" t="s">
        <v>141</v>
      </c>
      <c r="M1481" t="s">
        <v>142</v>
      </c>
      <c r="N1481" t="s">
        <v>2048</v>
      </c>
      <c r="O1481" t="s">
        <v>89</v>
      </c>
      <c r="P1481" t="str">
        <f>"4170072964                    "</f>
        <v xml:space="preserve">4170072964                    </v>
      </c>
      <c r="Q1481">
        <v>0</v>
      </c>
      <c r="R1481">
        <v>0</v>
      </c>
      <c r="S1481">
        <v>0</v>
      </c>
      <c r="T1481">
        <v>0</v>
      </c>
      <c r="U1481">
        <v>0</v>
      </c>
      <c r="V1481">
        <v>0</v>
      </c>
      <c r="W1481">
        <v>0</v>
      </c>
      <c r="X1481">
        <v>0</v>
      </c>
      <c r="Y1481">
        <v>0</v>
      </c>
      <c r="Z1481">
        <v>0</v>
      </c>
      <c r="AA1481">
        <v>0</v>
      </c>
      <c r="AB1481">
        <v>0</v>
      </c>
      <c r="AC1481">
        <v>0</v>
      </c>
      <c r="AD1481">
        <v>0</v>
      </c>
      <c r="AE1481">
        <v>0</v>
      </c>
      <c r="AF1481">
        <v>0</v>
      </c>
      <c r="AG1481">
        <v>0</v>
      </c>
      <c r="AH1481">
        <v>0</v>
      </c>
      <c r="AI1481">
        <v>0</v>
      </c>
      <c r="AJ1481">
        <v>0</v>
      </c>
      <c r="AK1481">
        <v>0</v>
      </c>
      <c r="AL1481">
        <v>0</v>
      </c>
      <c r="AM1481">
        <v>0</v>
      </c>
      <c r="AN1481">
        <v>0</v>
      </c>
      <c r="AO1481">
        <v>0</v>
      </c>
      <c r="AP1481">
        <v>0</v>
      </c>
      <c r="AQ1481">
        <v>25.52</v>
      </c>
      <c r="AR1481">
        <v>0</v>
      </c>
      <c r="AS1481">
        <v>0</v>
      </c>
      <c r="AT1481">
        <v>0</v>
      </c>
      <c r="AU1481">
        <v>0</v>
      </c>
      <c r="AV1481">
        <v>0</v>
      </c>
      <c r="AW1481">
        <v>0</v>
      </c>
      <c r="AX1481">
        <v>0</v>
      </c>
      <c r="AY1481">
        <v>0</v>
      </c>
      <c r="AZ1481">
        <v>0</v>
      </c>
      <c r="BA1481">
        <v>0</v>
      </c>
      <c r="BB1481">
        <v>0</v>
      </c>
      <c r="BC1481">
        <v>0</v>
      </c>
      <c r="BD1481">
        <v>0</v>
      </c>
      <c r="BE1481">
        <v>0</v>
      </c>
      <c r="BF1481">
        <v>0</v>
      </c>
      <c r="BG1481">
        <v>0</v>
      </c>
      <c r="BH1481">
        <v>1</v>
      </c>
      <c r="BI1481">
        <v>1</v>
      </c>
      <c r="BJ1481">
        <v>0.2</v>
      </c>
      <c r="BK1481">
        <v>1</v>
      </c>
      <c r="BL1481">
        <v>76.06</v>
      </c>
      <c r="BM1481">
        <v>11.41</v>
      </c>
      <c r="BN1481">
        <v>87.47</v>
      </c>
      <c r="BO1481">
        <v>87.47</v>
      </c>
      <c r="BQ1481" t="s">
        <v>2049</v>
      </c>
      <c r="BR1481" t="s">
        <v>82</v>
      </c>
      <c r="BS1481" t="s">
        <v>500</v>
      </c>
      <c r="BY1481">
        <v>1200</v>
      </c>
      <c r="CC1481" t="s">
        <v>142</v>
      </c>
      <c r="CD1481">
        <v>6000</v>
      </c>
      <c r="CE1481" t="s">
        <v>134</v>
      </c>
      <c r="CI1481">
        <v>1</v>
      </c>
      <c r="CJ1481" t="s">
        <v>500</v>
      </c>
      <c r="CK1481">
        <v>21</v>
      </c>
      <c r="CL1481" t="s">
        <v>87</v>
      </c>
    </row>
    <row r="1482" spans="1:90" x14ac:dyDescent="0.3">
      <c r="A1482" t="s">
        <v>72</v>
      </c>
      <c r="B1482" t="s">
        <v>73</v>
      </c>
      <c r="C1482" t="s">
        <v>74</v>
      </c>
      <c r="E1482" t="str">
        <f>"080069840114"</f>
        <v>080069840114</v>
      </c>
      <c r="F1482" s="3">
        <v>46002</v>
      </c>
      <c r="G1482">
        <v>202609</v>
      </c>
      <c r="H1482" t="s">
        <v>75</v>
      </c>
      <c r="I1482" t="s">
        <v>76</v>
      </c>
      <c r="J1482" t="s">
        <v>77</v>
      </c>
      <c r="K1482" t="s">
        <v>78</v>
      </c>
      <c r="L1482" t="s">
        <v>265</v>
      </c>
      <c r="M1482" t="s">
        <v>266</v>
      </c>
      <c r="N1482" t="s">
        <v>2012</v>
      </c>
      <c r="O1482" t="s">
        <v>89</v>
      </c>
      <c r="P1482" t="str">
        <f>"4170073077                    "</f>
        <v xml:space="preserve">4170073077                    </v>
      </c>
      <c r="Q1482">
        <v>0</v>
      </c>
      <c r="R1482">
        <v>0</v>
      </c>
      <c r="S1482">
        <v>0</v>
      </c>
      <c r="T1482">
        <v>0</v>
      </c>
      <c r="U1482">
        <v>0</v>
      </c>
      <c r="V1482">
        <v>0</v>
      </c>
      <c r="W1482">
        <v>0</v>
      </c>
      <c r="X1482">
        <v>0</v>
      </c>
      <c r="Y1482">
        <v>0</v>
      </c>
      <c r="Z1482">
        <v>0</v>
      </c>
      <c r="AA1482">
        <v>0</v>
      </c>
      <c r="AB1482">
        <v>0</v>
      </c>
      <c r="AC1482">
        <v>0</v>
      </c>
      <c r="AD1482">
        <v>0</v>
      </c>
      <c r="AE1482">
        <v>0</v>
      </c>
      <c r="AF1482">
        <v>0</v>
      </c>
      <c r="AG1482">
        <v>0</v>
      </c>
      <c r="AH1482">
        <v>0</v>
      </c>
      <c r="AI1482">
        <v>0</v>
      </c>
      <c r="AJ1482">
        <v>0</v>
      </c>
      <c r="AK1482">
        <v>0</v>
      </c>
      <c r="AL1482">
        <v>0</v>
      </c>
      <c r="AM1482">
        <v>0</v>
      </c>
      <c r="AN1482">
        <v>0</v>
      </c>
      <c r="AO1482">
        <v>0</v>
      </c>
      <c r="AP1482">
        <v>0</v>
      </c>
      <c r="AQ1482">
        <v>19.940000000000001</v>
      </c>
      <c r="AR1482">
        <v>0</v>
      </c>
      <c r="AS1482">
        <v>0</v>
      </c>
      <c r="AT1482">
        <v>0</v>
      </c>
      <c r="AU1482">
        <v>0</v>
      </c>
      <c r="AV1482">
        <v>0</v>
      </c>
      <c r="AW1482">
        <v>0</v>
      </c>
      <c r="AX1482">
        <v>0</v>
      </c>
      <c r="AY1482">
        <v>0</v>
      </c>
      <c r="AZ1482">
        <v>0</v>
      </c>
      <c r="BA1482">
        <v>0</v>
      </c>
      <c r="BB1482">
        <v>0</v>
      </c>
      <c r="BC1482">
        <v>0</v>
      </c>
      <c r="BD1482">
        <v>0</v>
      </c>
      <c r="BE1482">
        <v>0</v>
      </c>
      <c r="BF1482">
        <v>0</v>
      </c>
      <c r="BG1482">
        <v>0</v>
      </c>
      <c r="BH1482">
        <v>1</v>
      </c>
      <c r="BI1482">
        <v>1</v>
      </c>
      <c r="BJ1482">
        <v>0.2</v>
      </c>
      <c r="BK1482">
        <v>1</v>
      </c>
      <c r="BL1482">
        <v>59.42</v>
      </c>
      <c r="BM1482">
        <v>8.91</v>
      </c>
      <c r="BN1482">
        <v>68.33</v>
      </c>
      <c r="BO1482">
        <v>68.33</v>
      </c>
      <c r="BQ1482" t="s">
        <v>2013</v>
      </c>
      <c r="BR1482" t="s">
        <v>82</v>
      </c>
      <c r="BS1482" s="3">
        <v>46003</v>
      </c>
      <c r="BT1482" s="4">
        <v>0.32916666666666666</v>
      </c>
      <c r="BU1482" t="s">
        <v>2014</v>
      </c>
      <c r="BV1482" t="s">
        <v>84</v>
      </c>
      <c r="BY1482">
        <v>1200</v>
      </c>
      <c r="CA1482" t="s">
        <v>417</v>
      </c>
      <c r="CC1482" t="s">
        <v>266</v>
      </c>
      <c r="CD1482">
        <v>1459</v>
      </c>
      <c r="CE1482" t="s">
        <v>134</v>
      </c>
      <c r="CI1482">
        <v>1</v>
      </c>
      <c r="CJ1482">
        <v>1</v>
      </c>
      <c r="CK1482">
        <v>22</v>
      </c>
      <c r="CL1482" t="s">
        <v>87</v>
      </c>
    </row>
    <row r="1483" spans="1:90" x14ac:dyDescent="0.3">
      <c r="A1483" t="s">
        <v>72</v>
      </c>
      <c r="B1483" t="s">
        <v>73</v>
      </c>
      <c r="C1483" t="s">
        <v>74</v>
      </c>
      <c r="E1483" t="str">
        <f>"080069840138"</f>
        <v>080069840138</v>
      </c>
      <c r="F1483" s="3">
        <v>46002</v>
      </c>
      <c r="G1483">
        <v>202609</v>
      </c>
      <c r="H1483" t="s">
        <v>75</v>
      </c>
      <c r="I1483" t="s">
        <v>76</v>
      </c>
      <c r="J1483" t="s">
        <v>77</v>
      </c>
      <c r="K1483" t="s">
        <v>78</v>
      </c>
      <c r="L1483" t="s">
        <v>141</v>
      </c>
      <c r="M1483" t="s">
        <v>142</v>
      </c>
      <c r="N1483" t="s">
        <v>587</v>
      </c>
      <c r="O1483" t="s">
        <v>89</v>
      </c>
      <c r="P1483" t="str">
        <f>"4170073088                    "</f>
        <v xml:space="preserve">4170073088                    </v>
      </c>
      <c r="Q1483">
        <v>0</v>
      </c>
      <c r="R1483">
        <v>0</v>
      </c>
      <c r="S1483">
        <v>0</v>
      </c>
      <c r="T1483">
        <v>0</v>
      </c>
      <c r="U1483">
        <v>0</v>
      </c>
      <c r="V1483">
        <v>0</v>
      </c>
      <c r="W1483">
        <v>0</v>
      </c>
      <c r="X1483">
        <v>0</v>
      </c>
      <c r="Y1483">
        <v>0</v>
      </c>
      <c r="Z1483">
        <v>0</v>
      </c>
      <c r="AA1483">
        <v>0</v>
      </c>
      <c r="AB1483">
        <v>0</v>
      </c>
      <c r="AC1483">
        <v>0</v>
      </c>
      <c r="AD1483">
        <v>0</v>
      </c>
      <c r="AE1483">
        <v>0</v>
      </c>
      <c r="AF1483">
        <v>0</v>
      </c>
      <c r="AG1483">
        <v>0</v>
      </c>
      <c r="AH1483">
        <v>0</v>
      </c>
      <c r="AI1483">
        <v>0</v>
      </c>
      <c r="AJ1483">
        <v>0</v>
      </c>
      <c r="AK1483">
        <v>0</v>
      </c>
      <c r="AL1483">
        <v>0</v>
      </c>
      <c r="AM1483">
        <v>0</v>
      </c>
      <c r="AN1483">
        <v>0</v>
      </c>
      <c r="AO1483">
        <v>0</v>
      </c>
      <c r="AP1483">
        <v>0</v>
      </c>
      <c r="AQ1483">
        <v>25.52</v>
      </c>
      <c r="AR1483">
        <v>0</v>
      </c>
      <c r="AS1483">
        <v>0</v>
      </c>
      <c r="AT1483">
        <v>0</v>
      </c>
      <c r="AU1483">
        <v>0</v>
      </c>
      <c r="AV1483">
        <v>0</v>
      </c>
      <c r="AW1483">
        <v>0</v>
      </c>
      <c r="AX1483">
        <v>0</v>
      </c>
      <c r="AY1483">
        <v>0</v>
      </c>
      <c r="AZ1483">
        <v>0</v>
      </c>
      <c r="BA1483">
        <v>0</v>
      </c>
      <c r="BB1483">
        <v>0</v>
      </c>
      <c r="BC1483">
        <v>0</v>
      </c>
      <c r="BD1483">
        <v>0</v>
      </c>
      <c r="BE1483">
        <v>0</v>
      </c>
      <c r="BF1483">
        <v>0</v>
      </c>
      <c r="BG1483">
        <v>0</v>
      </c>
      <c r="BH1483">
        <v>1</v>
      </c>
      <c r="BI1483">
        <v>1</v>
      </c>
      <c r="BJ1483">
        <v>0.2</v>
      </c>
      <c r="BK1483">
        <v>1</v>
      </c>
      <c r="BL1483">
        <v>76.06</v>
      </c>
      <c r="BM1483">
        <v>11.41</v>
      </c>
      <c r="BN1483">
        <v>87.47</v>
      </c>
      <c r="BO1483">
        <v>87.47</v>
      </c>
      <c r="BQ1483" t="s">
        <v>588</v>
      </c>
      <c r="BR1483" t="s">
        <v>82</v>
      </c>
      <c r="BS1483" t="s">
        <v>500</v>
      </c>
      <c r="BY1483">
        <v>1200</v>
      </c>
      <c r="CC1483" t="s">
        <v>142</v>
      </c>
      <c r="CD1483">
        <v>6001</v>
      </c>
      <c r="CE1483" t="s">
        <v>134</v>
      </c>
      <c r="CI1483">
        <v>1</v>
      </c>
      <c r="CJ1483" t="s">
        <v>500</v>
      </c>
      <c r="CK1483">
        <v>21</v>
      </c>
      <c r="CL1483" t="s">
        <v>87</v>
      </c>
    </row>
    <row r="1484" spans="1:90" x14ac:dyDescent="0.3">
      <c r="A1484" t="s">
        <v>72</v>
      </c>
      <c r="B1484" t="s">
        <v>73</v>
      </c>
      <c r="C1484" t="s">
        <v>74</v>
      </c>
      <c r="E1484" t="str">
        <f>"080069840168"</f>
        <v>080069840168</v>
      </c>
      <c r="F1484" s="3">
        <v>46002</v>
      </c>
      <c r="G1484">
        <v>202609</v>
      </c>
      <c r="H1484" t="s">
        <v>75</v>
      </c>
      <c r="I1484" t="s">
        <v>76</v>
      </c>
      <c r="J1484" t="s">
        <v>77</v>
      </c>
      <c r="K1484" t="s">
        <v>78</v>
      </c>
      <c r="L1484" t="s">
        <v>189</v>
      </c>
      <c r="M1484" t="s">
        <v>190</v>
      </c>
      <c r="N1484" t="s">
        <v>1053</v>
      </c>
      <c r="O1484" t="s">
        <v>89</v>
      </c>
      <c r="P1484" t="str">
        <f>"4170072954                    "</f>
        <v xml:space="preserve">4170072954                    </v>
      </c>
      <c r="Q1484">
        <v>0</v>
      </c>
      <c r="R1484">
        <v>0</v>
      </c>
      <c r="S1484">
        <v>0</v>
      </c>
      <c r="T1484">
        <v>0</v>
      </c>
      <c r="U1484">
        <v>0</v>
      </c>
      <c r="V1484">
        <v>0</v>
      </c>
      <c r="W1484">
        <v>0</v>
      </c>
      <c r="X1484">
        <v>0</v>
      </c>
      <c r="Y1484">
        <v>0</v>
      </c>
      <c r="Z1484">
        <v>0</v>
      </c>
      <c r="AA1484">
        <v>0</v>
      </c>
      <c r="AB1484">
        <v>0</v>
      </c>
      <c r="AC1484">
        <v>0</v>
      </c>
      <c r="AD1484">
        <v>0</v>
      </c>
      <c r="AE1484">
        <v>0</v>
      </c>
      <c r="AF1484">
        <v>0</v>
      </c>
      <c r="AG1484">
        <v>0</v>
      </c>
      <c r="AH1484">
        <v>0</v>
      </c>
      <c r="AI1484">
        <v>0</v>
      </c>
      <c r="AJ1484">
        <v>0</v>
      </c>
      <c r="AK1484">
        <v>0</v>
      </c>
      <c r="AL1484">
        <v>0</v>
      </c>
      <c r="AM1484">
        <v>0</v>
      </c>
      <c r="AN1484">
        <v>0</v>
      </c>
      <c r="AO1484">
        <v>0</v>
      </c>
      <c r="AP1484">
        <v>0</v>
      </c>
      <c r="AQ1484">
        <v>25.52</v>
      </c>
      <c r="AR1484">
        <v>0</v>
      </c>
      <c r="AS1484">
        <v>0</v>
      </c>
      <c r="AT1484">
        <v>0</v>
      </c>
      <c r="AU1484">
        <v>0</v>
      </c>
      <c r="AV1484">
        <v>0</v>
      </c>
      <c r="AW1484">
        <v>0</v>
      </c>
      <c r="AX1484">
        <v>0</v>
      </c>
      <c r="AY1484">
        <v>0</v>
      </c>
      <c r="AZ1484">
        <v>0</v>
      </c>
      <c r="BA1484">
        <v>0</v>
      </c>
      <c r="BB1484">
        <v>0</v>
      </c>
      <c r="BC1484">
        <v>0</v>
      </c>
      <c r="BD1484">
        <v>0</v>
      </c>
      <c r="BE1484">
        <v>0</v>
      </c>
      <c r="BF1484">
        <v>0</v>
      </c>
      <c r="BG1484">
        <v>0</v>
      </c>
      <c r="BH1484">
        <v>1</v>
      </c>
      <c r="BI1484">
        <v>1</v>
      </c>
      <c r="BJ1484">
        <v>0.2</v>
      </c>
      <c r="BK1484">
        <v>1</v>
      </c>
      <c r="BL1484">
        <v>76.06</v>
      </c>
      <c r="BM1484">
        <v>11.41</v>
      </c>
      <c r="BN1484">
        <v>87.47</v>
      </c>
      <c r="BO1484">
        <v>87.47</v>
      </c>
      <c r="BQ1484" t="s">
        <v>1054</v>
      </c>
      <c r="BR1484" t="s">
        <v>82</v>
      </c>
      <c r="BS1484" t="s">
        <v>500</v>
      </c>
      <c r="BY1484">
        <v>1200</v>
      </c>
      <c r="CC1484" t="s">
        <v>190</v>
      </c>
      <c r="CD1484">
        <v>3201</v>
      </c>
      <c r="CE1484" t="s">
        <v>134</v>
      </c>
      <c r="CI1484">
        <v>1</v>
      </c>
      <c r="CJ1484" t="s">
        <v>500</v>
      </c>
      <c r="CK1484">
        <v>21</v>
      </c>
      <c r="CL1484" t="s">
        <v>87</v>
      </c>
    </row>
    <row r="1485" spans="1:90" x14ac:dyDescent="0.3">
      <c r="A1485" t="s">
        <v>72</v>
      </c>
      <c r="B1485" t="s">
        <v>73</v>
      </c>
      <c r="C1485" t="s">
        <v>74</v>
      </c>
      <c r="E1485" t="str">
        <f>"080069840193"</f>
        <v>080069840193</v>
      </c>
      <c r="F1485" s="3">
        <v>46002</v>
      </c>
      <c r="G1485">
        <v>202609</v>
      </c>
      <c r="H1485" t="s">
        <v>75</v>
      </c>
      <c r="I1485" t="s">
        <v>76</v>
      </c>
      <c r="J1485" t="s">
        <v>77</v>
      </c>
      <c r="K1485" t="s">
        <v>78</v>
      </c>
      <c r="L1485" t="s">
        <v>141</v>
      </c>
      <c r="M1485" t="s">
        <v>142</v>
      </c>
      <c r="N1485" t="s">
        <v>608</v>
      </c>
      <c r="O1485" t="s">
        <v>89</v>
      </c>
      <c r="P1485" t="str">
        <f>"4170072940                    "</f>
        <v xml:space="preserve">4170072940                    </v>
      </c>
      <c r="Q1485">
        <v>0</v>
      </c>
      <c r="R1485">
        <v>0</v>
      </c>
      <c r="S1485">
        <v>0</v>
      </c>
      <c r="T1485">
        <v>0</v>
      </c>
      <c r="U1485">
        <v>0</v>
      </c>
      <c r="V1485">
        <v>0</v>
      </c>
      <c r="W1485">
        <v>0</v>
      </c>
      <c r="X1485">
        <v>0</v>
      </c>
      <c r="Y1485">
        <v>0</v>
      </c>
      <c r="Z1485">
        <v>0</v>
      </c>
      <c r="AA1485">
        <v>0</v>
      </c>
      <c r="AB1485">
        <v>0</v>
      </c>
      <c r="AC1485">
        <v>0</v>
      </c>
      <c r="AD1485">
        <v>0</v>
      </c>
      <c r="AE1485">
        <v>0</v>
      </c>
      <c r="AF1485">
        <v>0</v>
      </c>
      <c r="AG1485">
        <v>0</v>
      </c>
      <c r="AH1485">
        <v>0</v>
      </c>
      <c r="AI1485">
        <v>0</v>
      </c>
      <c r="AJ1485">
        <v>0</v>
      </c>
      <c r="AK1485">
        <v>0</v>
      </c>
      <c r="AL1485">
        <v>0</v>
      </c>
      <c r="AM1485">
        <v>0</v>
      </c>
      <c r="AN1485">
        <v>0</v>
      </c>
      <c r="AO1485">
        <v>0</v>
      </c>
      <c r="AP1485">
        <v>0</v>
      </c>
      <c r="AQ1485">
        <v>25.52</v>
      </c>
      <c r="AR1485">
        <v>0</v>
      </c>
      <c r="AS1485">
        <v>0</v>
      </c>
      <c r="AT1485">
        <v>0</v>
      </c>
      <c r="AU1485">
        <v>0</v>
      </c>
      <c r="AV1485">
        <v>0</v>
      </c>
      <c r="AW1485">
        <v>0</v>
      </c>
      <c r="AX1485">
        <v>0</v>
      </c>
      <c r="AY1485">
        <v>0</v>
      </c>
      <c r="AZ1485">
        <v>0</v>
      </c>
      <c r="BA1485">
        <v>0</v>
      </c>
      <c r="BB1485">
        <v>0</v>
      </c>
      <c r="BC1485">
        <v>0</v>
      </c>
      <c r="BD1485">
        <v>0</v>
      </c>
      <c r="BE1485">
        <v>0</v>
      </c>
      <c r="BF1485">
        <v>0</v>
      </c>
      <c r="BG1485">
        <v>0</v>
      </c>
      <c r="BH1485">
        <v>1</v>
      </c>
      <c r="BI1485">
        <v>1</v>
      </c>
      <c r="BJ1485">
        <v>0.2</v>
      </c>
      <c r="BK1485">
        <v>1</v>
      </c>
      <c r="BL1485">
        <v>76.06</v>
      </c>
      <c r="BM1485">
        <v>11.41</v>
      </c>
      <c r="BN1485">
        <v>87.47</v>
      </c>
      <c r="BO1485">
        <v>87.47</v>
      </c>
      <c r="BQ1485" t="s">
        <v>609</v>
      </c>
      <c r="BR1485" t="s">
        <v>82</v>
      </c>
      <c r="BS1485" t="s">
        <v>500</v>
      </c>
      <c r="BY1485">
        <v>1200</v>
      </c>
      <c r="CC1485" t="s">
        <v>142</v>
      </c>
      <c r="CD1485">
        <v>6070</v>
      </c>
      <c r="CE1485" t="s">
        <v>134</v>
      </c>
      <c r="CI1485">
        <v>1</v>
      </c>
      <c r="CJ1485" t="s">
        <v>500</v>
      </c>
      <c r="CK1485">
        <v>21</v>
      </c>
      <c r="CL1485" t="s">
        <v>87</v>
      </c>
    </row>
    <row r="1486" spans="1:90" x14ac:dyDescent="0.3">
      <c r="A1486" t="s">
        <v>72</v>
      </c>
      <c r="B1486" t="s">
        <v>73</v>
      </c>
      <c r="C1486" t="s">
        <v>74</v>
      </c>
      <c r="E1486" t="str">
        <f>"080069840201"</f>
        <v>080069840201</v>
      </c>
      <c r="F1486" s="3">
        <v>46002</v>
      </c>
      <c r="G1486">
        <v>202609</v>
      </c>
      <c r="H1486" t="s">
        <v>75</v>
      </c>
      <c r="I1486" t="s">
        <v>76</v>
      </c>
      <c r="J1486" t="s">
        <v>77</v>
      </c>
      <c r="K1486" t="s">
        <v>78</v>
      </c>
      <c r="L1486" t="s">
        <v>75</v>
      </c>
      <c r="M1486" t="s">
        <v>76</v>
      </c>
      <c r="N1486" t="s">
        <v>328</v>
      </c>
      <c r="O1486" t="s">
        <v>89</v>
      </c>
      <c r="P1486" t="str">
        <f>"4170072939                    "</f>
        <v xml:space="preserve">4170072939                    </v>
      </c>
      <c r="Q1486">
        <v>0</v>
      </c>
      <c r="R1486">
        <v>0</v>
      </c>
      <c r="S1486">
        <v>0</v>
      </c>
      <c r="T1486">
        <v>0</v>
      </c>
      <c r="U1486">
        <v>0</v>
      </c>
      <c r="V1486">
        <v>0</v>
      </c>
      <c r="W1486">
        <v>0</v>
      </c>
      <c r="X1486">
        <v>0</v>
      </c>
      <c r="Y1486">
        <v>0</v>
      </c>
      <c r="Z1486">
        <v>0</v>
      </c>
      <c r="AA1486">
        <v>0</v>
      </c>
      <c r="AB1486">
        <v>0</v>
      </c>
      <c r="AC1486">
        <v>0</v>
      </c>
      <c r="AD1486">
        <v>0</v>
      </c>
      <c r="AE1486">
        <v>0</v>
      </c>
      <c r="AF1486">
        <v>0</v>
      </c>
      <c r="AG1486">
        <v>0</v>
      </c>
      <c r="AH1486">
        <v>0</v>
      </c>
      <c r="AI1486">
        <v>0</v>
      </c>
      <c r="AJ1486">
        <v>0</v>
      </c>
      <c r="AK1486">
        <v>0</v>
      </c>
      <c r="AL1486">
        <v>0</v>
      </c>
      <c r="AM1486">
        <v>0</v>
      </c>
      <c r="AN1486">
        <v>0</v>
      </c>
      <c r="AO1486">
        <v>0</v>
      </c>
      <c r="AP1486">
        <v>0</v>
      </c>
      <c r="AQ1486">
        <v>19.940000000000001</v>
      </c>
      <c r="AR1486">
        <v>0</v>
      </c>
      <c r="AS1486">
        <v>0</v>
      </c>
      <c r="AT1486">
        <v>0</v>
      </c>
      <c r="AU1486">
        <v>0</v>
      </c>
      <c r="AV1486">
        <v>0</v>
      </c>
      <c r="AW1486">
        <v>0</v>
      </c>
      <c r="AX1486">
        <v>0</v>
      </c>
      <c r="AY1486">
        <v>0</v>
      </c>
      <c r="AZ1486">
        <v>0</v>
      </c>
      <c r="BA1486">
        <v>0</v>
      </c>
      <c r="BB1486">
        <v>0</v>
      </c>
      <c r="BC1486">
        <v>0</v>
      </c>
      <c r="BD1486">
        <v>0</v>
      </c>
      <c r="BE1486">
        <v>0</v>
      </c>
      <c r="BF1486">
        <v>0</v>
      </c>
      <c r="BG1486">
        <v>0</v>
      </c>
      <c r="BH1486">
        <v>1</v>
      </c>
      <c r="BI1486">
        <v>1</v>
      </c>
      <c r="BJ1486">
        <v>3</v>
      </c>
      <c r="BK1486">
        <v>3</v>
      </c>
      <c r="BL1486">
        <v>59.42</v>
      </c>
      <c r="BM1486">
        <v>8.91</v>
      </c>
      <c r="BN1486">
        <v>68.33</v>
      </c>
      <c r="BO1486">
        <v>68.33</v>
      </c>
      <c r="BQ1486" t="s">
        <v>329</v>
      </c>
      <c r="BR1486" t="s">
        <v>82</v>
      </c>
      <c r="BS1486" t="s">
        <v>500</v>
      </c>
      <c r="BY1486">
        <v>14976</v>
      </c>
      <c r="CC1486" t="s">
        <v>76</v>
      </c>
      <c r="CD1486">
        <v>1645</v>
      </c>
      <c r="CE1486" t="s">
        <v>93</v>
      </c>
      <c r="CI1486">
        <v>1</v>
      </c>
      <c r="CJ1486" t="s">
        <v>500</v>
      </c>
      <c r="CK1486">
        <v>22</v>
      </c>
      <c r="CL1486" t="s">
        <v>87</v>
      </c>
    </row>
    <row r="1487" spans="1:90" x14ac:dyDescent="0.3">
      <c r="A1487" t="s">
        <v>72</v>
      </c>
      <c r="B1487" t="s">
        <v>73</v>
      </c>
      <c r="C1487" t="s">
        <v>74</v>
      </c>
      <c r="E1487" t="str">
        <f>"080069840235"</f>
        <v>080069840235</v>
      </c>
      <c r="F1487" s="3">
        <v>46002</v>
      </c>
      <c r="G1487">
        <v>202609</v>
      </c>
      <c r="H1487" t="s">
        <v>75</v>
      </c>
      <c r="I1487" t="s">
        <v>76</v>
      </c>
      <c r="J1487" t="s">
        <v>77</v>
      </c>
      <c r="K1487" t="s">
        <v>78</v>
      </c>
      <c r="L1487" t="s">
        <v>75</v>
      </c>
      <c r="M1487" t="s">
        <v>76</v>
      </c>
      <c r="N1487" t="s">
        <v>79</v>
      </c>
      <c r="O1487" t="s">
        <v>89</v>
      </c>
      <c r="P1487" t="str">
        <f>"4170072992                    "</f>
        <v xml:space="preserve">4170072992                    </v>
      </c>
      <c r="Q1487">
        <v>0</v>
      </c>
      <c r="R1487">
        <v>0</v>
      </c>
      <c r="S1487">
        <v>0</v>
      </c>
      <c r="T1487">
        <v>0</v>
      </c>
      <c r="U1487">
        <v>0</v>
      </c>
      <c r="V1487">
        <v>0</v>
      </c>
      <c r="W1487">
        <v>0</v>
      </c>
      <c r="X1487">
        <v>0</v>
      </c>
      <c r="Y1487">
        <v>0</v>
      </c>
      <c r="Z1487">
        <v>0</v>
      </c>
      <c r="AA1487">
        <v>0</v>
      </c>
      <c r="AB1487">
        <v>0</v>
      </c>
      <c r="AC1487">
        <v>0</v>
      </c>
      <c r="AD1487">
        <v>0</v>
      </c>
      <c r="AE1487">
        <v>0</v>
      </c>
      <c r="AF1487">
        <v>0</v>
      </c>
      <c r="AG1487">
        <v>0</v>
      </c>
      <c r="AH1487">
        <v>0</v>
      </c>
      <c r="AI1487">
        <v>0</v>
      </c>
      <c r="AJ1487">
        <v>0</v>
      </c>
      <c r="AK1487">
        <v>0</v>
      </c>
      <c r="AL1487">
        <v>0</v>
      </c>
      <c r="AM1487">
        <v>0</v>
      </c>
      <c r="AN1487">
        <v>0</v>
      </c>
      <c r="AO1487">
        <v>0</v>
      </c>
      <c r="AP1487">
        <v>0</v>
      </c>
      <c r="AQ1487">
        <v>19.940000000000001</v>
      </c>
      <c r="AR1487">
        <v>0</v>
      </c>
      <c r="AS1487">
        <v>0</v>
      </c>
      <c r="AT1487">
        <v>0</v>
      </c>
      <c r="AU1487">
        <v>0</v>
      </c>
      <c r="AV1487">
        <v>0</v>
      </c>
      <c r="AW1487">
        <v>0</v>
      </c>
      <c r="AX1487">
        <v>0</v>
      </c>
      <c r="AY1487">
        <v>0</v>
      </c>
      <c r="AZ1487">
        <v>0</v>
      </c>
      <c r="BA1487">
        <v>0</v>
      </c>
      <c r="BB1487">
        <v>0</v>
      </c>
      <c r="BC1487">
        <v>0</v>
      </c>
      <c r="BD1487">
        <v>0</v>
      </c>
      <c r="BE1487">
        <v>0</v>
      </c>
      <c r="BF1487">
        <v>0</v>
      </c>
      <c r="BG1487">
        <v>0</v>
      </c>
      <c r="BH1487">
        <v>1</v>
      </c>
      <c r="BI1487">
        <v>1</v>
      </c>
      <c r="BJ1487">
        <v>0.2</v>
      </c>
      <c r="BK1487">
        <v>1</v>
      </c>
      <c r="BL1487">
        <v>59.42</v>
      </c>
      <c r="BM1487">
        <v>8.91</v>
      </c>
      <c r="BN1487">
        <v>68.33</v>
      </c>
      <c r="BO1487">
        <v>68.33</v>
      </c>
      <c r="BQ1487" t="s">
        <v>81</v>
      </c>
      <c r="BR1487" t="s">
        <v>82</v>
      </c>
      <c r="BS1487" t="s">
        <v>500</v>
      </c>
      <c r="BY1487">
        <v>1200</v>
      </c>
      <c r="CC1487" t="s">
        <v>76</v>
      </c>
      <c r="CD1487">
        <v>1619</v>
      </c>
      <c r="CE1487" t="s">
        <v>134</v>
      </c>
      <c r="CI1487">
        <v>1</v>
      </c>
      <c r="CJ1487" t="s">
        <v>500</v>
      </c>
      <c r="CK1487">
        <v>22</v>
      </c>
      <c r="CL1487" t="s">
        <v>87</v>
      </c>
    </row>
    <row r="1488" spans="1:90" x14ac:dyDescent="0.3">
      <c r="A1488" t="s">
        <v>72</v>
      </c>
      <c r="B1488" t="s">
        <v>73</v>
      </c>
      <c r="C1488" t="s">
        <v>74</v>
      </c>
      <c r="E1488" t="str">
        <f>"080069840268"</f>
        <v>080069840268</v>
      </c>
      <c r="F1488" s="3">
        <v>46002</v>
      </c>
      <c r="G1488">
        <v>202609</v>
      </c>
      <c r="H1488" t="s">
        <v>75</v>
      </c>
      <c r="I1488" t="s">
        <v>76</v>
      </c>
      <c r="J1488" t="s">
        <v>77</v>
      </c>
      <c r="K1488" t="s">
        <v>78</v>
      </c>
      <c r="L1488" t="s">
        <v>141</v>
      </c>
      <c r="M1488" t="s">
        <v>142</v>
      </c>
      <c r="N1488" t="s">
        <v>587</v>
      </c>
      <c r="O1488" t="s">
        <v>89</v>
      </c>
      <c r="P1488" t="str">
        <f>"4170073089                    "</f>
        <v xml:space="preserve">4170073089                    </v>
      </c>
      <c r="Q1488">
        <v>0</v>
      </c>
      <c r="R1488">
        <v>0</v>
      </c>
      <c r="S1488">
        <v>0</v>
      </c>
      <c r="T1488">
        <v>0</v>
      </c>
      <c r="U1488">
        <v>0</v>
      </c>
      <c r="V1488">
        <v>0</v>
      </c>
      <c r="W1488">
        <v>0</v>
      </c>
      <c r="X1488">
        <v>0</v>
      </c>
      <c r="Y1488">
        <v>0</v>
      </c>
      <c r="Z1488">
        <v>0</v>
      </c>
      <c r="AA1488">
        <v>0</v>
      </c>
      <c r="AB1488">
        <v>0</v>
      </c>
      <c r="AC1488">
        <v>0</v>
      </c>
      <c r="AD1488">
        <v>0</v>
      </c>
      <c r="AE1488">
        <v>0</v>
      </c>
      <c r="AF1488">
        <v>0</v>
      </c>
      <c r="AG1488">
        <v>0</v>
      </c>
      <c r="AH1488">
        <v>0</v>
      </c>
      <c r="AI1488">
        <v>0</v>
      </c>
      <c r="AJ1488">
        <v>0</v>
      </c>
      <c r="AK1488">
        <v>0</v>
      </c>
      <c r="AL1488">
        <v>0</v>
      </c>
      <c r="AM1488">
        <v>0</v>
      </c>
      <c r="AN1488">
        <v>0</v>
      </c>
      <c r="AO1488">
        <v>0</v>
      </c>
      <c r="AP1488">
        <v>0</v>
      </c>
      <c r="AQ1488">
        <v>25.52</v>
      </c>
      <c r="AR1488">
        <v>0</v>
      </c>
      <c r="AS1488">
        <v>0</v>
      </c>
      <c r="AT1488">
        <v>0</v>
      </c>
      <c r="AU1488">
        <v>0</v>
      </c>
      <c r="AV1488">
        <v>0</v>
      </c>
      <c r="AW1488">
        <v>0</v>
      </c>
      <c r="AX1488">
        <v>0</v>
      </c>
      <c r="AY1488">
        <v>0</v>
      </c>
      <c r="AZ1488">
        <v>0</v>
      </c>
      <c r="BA1488">
        <v>0</v>
      </c>
      <c r="BB1488">
        <v>0</v>
      </c>
      <c r="BC1488">
        <v>0</v>
      </c>
      <c r="BD1488">
        <v>0</v>
      </c>
      <c r="BE1488">
        <v>0</v>
      </c>
      <c r="BF1488">
        <v>0</v>
      </c>
      <c r="BG1488">
        <v>0</v>
      </c>
      <c r="BH1488">
        <v>1</v>
      </c>
      <c r="BI1488">
        <v>1</v>
      </c>
      <c r="BJ1488">
        <v>0.2</v>
      </c>
      <c r="BK1488">
        <v>1</v>
      </c>
      <c r="BL1488">
        <v>76.06</v>
      </c>
      <c r="BM1488">
        <v>11.41</v>
      </c>
      <c r="BN1488">
        <v>87.47</v>
      </c>
      <c r="BO1488">
        <v>87.47</v>
      </c>
      <c r="BQ1488" t="s">
        <v>588</v>
      </c>
      <c r="BR1488" t="s">
        <v>82</v>
      </c>
      <c r="BS1488" t="s">
        <v>500</v>
      </c>
      <c r="BY1488">
        <v>1200</v>
      </c>
      <c r="CC1488" t="s">
        <v>142</v>
      </c>
      <c r="CD1488">
        <v>6001</v>
      </c>
      <c r="CE1488" t="s">
        <v>134</v>
      </c>
      <c r="CI1488">
        <v>1</v>
      </c>
      <c r="CJ1488" t="s">
        <v>500</v>
      </c>
      <c r="CK1488">
        <v>21</v>
      </c>
      <c r="CL1488" t="s">
        <v>87</v>
      </c>
    </row>
    <row r="1489" spans="1:90" x14ac:dyDescent="0.3">
      <c r="A1489" t="s">
        <v>72</v>
      </c>
      <c r="B1489" t="s">
        <v>73</v>
      </c>
      <c r="C1489" t="s">
        <v>74</v>
      </c>
      <c r="E1489" t="str">
        <f>"080069841058"</f>
        <v>080069841058</v>
      </c>
      <c r="F1489" s="3">
        <v>46002</v>
      </c>
      <c r="G1489">
        <v>202609</v>
      </c>
      <c r="H1489" t="s">
        <v>75</v>
      </c>
      <c r="I1489" t="s">
        <v>76</v>
      </c>
      <c r="J1489" t="s">
        <v>77</v>
      </c>
      <c r="K1489" t="s">
        <v>78</v>
      </c>
      <c r="L1489" t="s">
        <v>156</v>
      </c>
      <c r="M1489" t="s">
        <v>157</v>
      </c>
      <c r="N1489" t="s">
        <v>1344</v>
      </c>
      <c r="O1489" t="s">
        <v>89</v>
      </c>
      <c r="P1489" t="str">
        <f>"4170073070                    "</f>
        <v xml:space="preserve">4170073070                    </v>
      </c>
      <c r="Q1489">
        <v>0</v>
      </c>
      <c r="R1489">
        <v>0</v>
      </c>
      <c r="S1489">
        <v>0</v>
      </c>
      <c r="T1489">
        <v>0</v>
      </c>
      <c r="U1489">
        <v>0</v>
      </c>
      <c r="V1489">
        <v>0</v>
      </c>
      <c r="W1489">
        <v>0</v>
      </c>
      <c r="X1489">
        <v>0</v>
      </c>
      <c r="Y1489">
        <v>0</v>
      </c>
      <c r="Z1489">
        <v>0</v>
      </c>
      <c r="AA1489">
        <v>0</v>
      </c>
      <c r="AB1489">
        <v>0</v>
      </c>
      <c r="AC1489">
        <v>0</v>
      </c>
      <c r="AD1489">
        <v>0</v>
      </c>
      <c r="AE1489">
        <v>0</v>
      </c>
      <c r="AF1489">
        <v>0</v>
      </c>
      <c r="AG1489">
        <v>0</v>
      </c>
      <c r="AH1489">
        <v>0</v>
      </c>
      <c r="AI1489">
        <v>0</v>
      </c>
      <c r="AJ1489">
        <v>0</v>
      </c>
      <c r="AK1489">
        <v>0</v>
      </c>
      <c r="AL1489">
        <v>0</v>
      </c>
      <c r="AM1489">
        <v>0</v>
      </c>
      <c r="AN1489">
        <v>0</v>
      </c>
      <c r="AO1489">
        <v>0</v>
      </c>
      <c r="AP1489">
        <v>0</v>
      </c>
      <c r="AQ1489">
        <v>25.52</v>
      </c>
      <c r="AR1489">
        <v>0</v>
      </c>
      <c r="AS1489">
        <v>0</v>
      </c>
      <c r="AT1489">
        <v>0</v>
      </c>
      <c r="AU1489">
        <v>0</v>
      </c>
      <c r="AV1489">
        <v>0</v>
      </c>
      <c r="AW1489">
        <v>0</v>
      </c>
      <c r="AX1489">
        <v>0</v>
      </c>
      <c r="AY1489">
        <v>0</v>
      </c>
      <c r="AZ1489">
        <v>0</v>
      </c>
      <c r="BA1489">
        <v>0</v>
      </c>
      <c r="BB1489">
        <v>0</v>
      </c>
      <c r="BC1489">
        <v>0</v>
      </c>
      <c r="BD1489">
        <v>0</v>
      </c>
      <c r="BE1489">
        <v>0</v>
      </c>
      <c r="BF1489">
        <v>0</v>
      </c>
      <c r="BG1489">
        <v>0</v>
      </c>
      <c r="BH1489">
        <v>1</v>
      </c>
      <c r="BI1489">
        <v>1</v>
      </c>
      <c r="BJ1489">
        <v>0.2</v>
      </c>
      <c r="BK1489">
        <v>1</v>
      </c>
      <c r="BL1489">
        <v>76.06</v>
      </c>
      <c r="BM1489">
        <v>11.41</v>
      </c>
      <c r="BN1489">
        <v>87.47</v>
      </c>
      <c r="BO1489">
        <v>87.47</v>
      </c>
      <c r="BQ1489" t="s">
        <v>1345</v>
      </c>
      <c r="BR1489" t="s">
        <v>82</v>
      </c>
      <c r="BS1489" t="s">
        <v>500</v>
      </c>
      <c r="BY1489">
        <v>1200</v>
      </c>
      <c r="CC1489" t="s">
        <v>157</v>
      </c>
      <c r="CD1489">
        <v>7405</v>
      </c>
      <c r="CE1489" t="s">
        <v>134</v>
      </c>
      <c r="CI1489">
        <v>1</v>
      </c>
      <c r="CJ1489" t="s">
        <v>500</v>
      </c>
      <c r="CK1489">
        <v>21</v>
      </c>
      <c r="CL1489" t="s">
        <v>87</v>
      </c>
    </row>
    <row r="1490" spans="1:90" x14ac:dyDescent="0.3">
      <c r="A1490" t="s">
        <v>72</v>
      </c>
      <c r="B1490" t="s">
        <v>73</v>
      </c>
      <c r="C1490" t="s">
        <v>74</v>
      </c>
      <c r="E1490" t="str">
        <f>"R080069655134"</f>
        <v>R080069655134</v>
      </c>
      <c r="F1490" s="3">
        <v>46002</v>
      </c>
      <c r="G1490">
        <v>202609</v>
      </c>
      <c r="H1490" t="s">
        <v>109</v>
      </c>
      <c r="I1490" t="s">
        <v>110</v>
      </c>
      <c r="J1490" t="s">
        <v>1105</v>
      </c>
      <c r="K1490" t="s">
        <v>78</v>
      </c>
      <c r="L1490" t="s">
        <v>75</v>
      </c>
      <c r="M1490" t="s">
        <v>76</v>
      </c>
      <c r="N1490" t="s">
        <v>77</v>
      </c>
      <c r="O1490" t="s">
        <v>80</v>
      </c>
      <c r="P1490" t="str">
        <f>"4170071691                    "</f>
        <v xml:space="preserve">4170071691                    </v>
      </c>
      <c r="Q1490">
        <v>0</v>
      </c>
      <c r="R1490">
        <v>0</v>
      </c>
      <c r="S1490">
        <v>0</v>
      </c>
      <c r="T1490">
        <v>0</v>
      </c>
      <c r="U1490">
        <v>0</v>
      </c>
      <c r="V1490">
        <v>0</v>
      </c>
      <c r="W1490">
        <v>0</v>
      </c>
      <c r="X1490">
        <v>0</v>
      </c>
      <c r="Y1490">
        <v>0</v>
      </c>
      <c r="Z1490">
        <v>0</v>
      </c>
      <c r="AA1490">
        <v>0</v>
      </c>
      <c r="AB1490">
        <v>0</v>
      </c>
      <c r="AC1490">
        <v>0</v>
      </c>
      <c r="AD1490">
        <v>0</v>
      </c>
      <c r="AE1490">
        <v>0</v>
      </c>
      <c r="AF1490">
        <v>0</v>
      </c>
      <c r="AG1490">
        <v>0</v>
      </c>
      <c r="AH1490">
        <v>0</v>
      </c>
      <c r="AI1490">
        <v>0</v>
      </c>
      <c r="AJ1490">
        <v>0</v>
      </c>
      <c r="AK1490">
        <v>0</v>
      </c>
      <c r="AL1490">
        <v>0</v>
      </c>
      <c r="AM1490">
        <v>0</v>
      </c>
      <c r="AN1490">
        <v>0</v>
      </c>
      <c r="AO1490">
        <v>0</v>
      </c>
      <c r="AP1490">
        <v>0</v>
      </c>
      <c r="AQ1490">
        <v>54.51</v>
      </c>
      <c r="AR1490">
        <v>0</v>
      </c>
      <c r="AS1490">
        <v>0</v>
      </c>
      <c r="AT1490">
        <v>0</v>
      </c>
      <c r="AU1490">
        <v>0</v>
      </c>
      <c r="AV1490">
        <v>0</v>
      </c>
      <c r="AW1490">
        <v>0</v>
      </c>
      <c r="AX1490">
        <v>0</v>
      </c>
      <c r="AY1490">
        <v>0</v>
      </c>
      <c r="AZ1490">
        <v>0</v>
      </c>
      <c r="BA1490">
        <v>0</v>
      </c>
      <c r="BB1490">
        <v>0</v>
      </c>
      <c r="BC1490">
        <v>0</v>
      </c>
      <c r="BD1490">
        <v>0</v>
      </c>
      <c r="BE1490">
        <v>0</v>
      </c>
      <c r="BF1490">
        <v>0</v>
      </c>
      <c r="BG1490">
        <v>0</v>
      </c>
      <c r="BH1490">
        <v>1</v>
      </c>
      <c r="BI1490">
        <v>1</v>
      </c>
      <c r="BJ1490">
        <v>0.2</v>
      </c>
      <c r="BK1490">
        <v>1</v>
      </c>
      <c r="BL1490">
        <v>168.55</v>
      </c>
      <c r="BM1490">
        <v>25.28</v>
      </c>
      <c r="BN1490">
        <v>193.83</v>
      </c>
      <c r="BO1490">
        <v>193.83</v>
      </c>
      <c r="BQ1490" t="s">
        <v>82</v>
      </c>
      <c r="BR1490" t="s">
        <v>1106</v>
      </c>
      <c r="BS1490" t="s">
        <v>500</v>
      </c>
      <c r="BY1490">
        <v>1200</v>
      </c>
      <c r="CC1490" t="s">
        <v>76</v>
      </c>
      <c r="CD1490">
        <v>1601</v>
      </c>
      <c r="CE1490" t="s">
        <v>134</v>
      </c>
      <c r="CI1490">
        <v>1</v>
      </c>
      <c r="CJ1490" t="s">
        <v>500</v>
      </c>
      <c r="CK1490">
        <v>44</v>
      </c>
      <c r="CL1490" t="s">
        <v>87</v>
      </c>
    </row>
    <row r="1491" spans="1:90" x14ac:dyDescent="0.3">
      <c r="A1491" t="s">
        <v>72</v>
      </c>
      <c r="B1491" t="s">
        <v>73</v>
      </c>
      <c r="C1491" t="s">
        <v>74</v>
      </c>
      <c r="E1491" t="str">
        <f>"080069841089"</f>
        <v>080069841089</v>
      </c>
      <c r="F1491" s="3">
        <v>46002</v>
      </c>
      <c r="G1491">
        <v>202609</v>
      </c>
      <c r="H1491" t="s">
        <v>75</v>
      </c>
      <c r="I1491" t="s">
        <v>76</v>
      </c>
      <c r="J1491" t="s">
        <v>77</v>
      </c>
      <c r="K1491" t="s">
        <v>78</v>
      </c>
      <c r="L1491" t="s">
        <v>141</v>
      </c>
      <c r="M1491" t="s">
        <v>142</v>
      </c>
      <c r="N1491" t="s">
        <v>819</v>
      </c>
      <c r="O1491" t="s">
        <v>89</v>
      </c>
      <c r="P1491" t="str">
        <f>"4170072979                    "</f>
        <v xml:space="preserve">4170072979                    </v>
      </c>
      <c r="Q1491">
        <v>0</v>
      </c>
      <c r="R1491">
        <v>0</v>
      </c>
      <c r="S1491">
        <v>0</v>
      </c>
      <c r="T1491">
        <v>0</v>
      </c>
      <c r="U1491">
        <v>0</v>
      </c>
      <c r="V1491">
        <v>0</v>
      </c>
      <c r="W1491">
        <v>0</v>
      </c>
      <c r="X1491">
        <v>0</v>
      </c>
      <c r="Y1491">
        <v>0</v>
      </c>
      <c r="Z1491">
        <v>0</v>
      </c>
      <c r="AA1491">
        <v>0</v>
      </c>
      <c r="AB1491">
        <v>0</v>
      </c>
      <c r="AC1491">
        <v>0</v>
      </c>
      <c r="AD1491">
        <v>0</v>
      </c>
      <c r="AE1491">
        <v>0</v>
      </c>
      <c r="AF1491">
        <v>0</v>
      </c>
      <c r="AG1491">
        <v>0</v>
      </c>
      <c r="AH1491">
        <v>0</v>
      </c>
      <c r="AI1491">
        <v>0</v>
      </c>
      <c r="AJ1491">
        <v>0</v>
      </c>
      <c r="AK1491">
        <v>0</v>
      </c>
      <c r="AL1491">
        <v>0</v>
      </c>
      <c r="AM1491">
        <v>0</v>
      </c>
      <c r="AN1491">
        <v>0</v>
      </c>
      <c r="AO1491">
        <v>0</v>
      </c>
      <c r="AP1491">
        <v>0</v>
      </c>
      <c r="AQ1491">
        <v>25.52</v>
      </c>
      <c r="AR1491">
        <v>0</v>
      </c>
      <c r="AS1491">
        <v>0</v>
      </c>
      <c r="AT1491">
        <v>0</v>
      </c>
      <c r="AU1491">
        <v>0</v>
      </c>
      <c r="AV1491">
        <v>0</v>
      </c>
      <c r="AW1491">
        <v>0</v>
      </c>
      <c r="AX1491">
        <v>0</v>
      </c>
      <c r="AY1491">
        <v>0</v>
      </c>
      <c r="AZ1491">
        <v>0</v>
      </c>
      <c r="BA1491">
        <v>0</v>
      </c>
      <c r="BB1491">
        <v>0</v>
      </c>
      <c r="BC1491">
        <v>0</v>
      </c>
      <c r="BD1491">
        <v>0</v>
      </c>
      <c r="BE1491">
        <v>0</v>
      </c>
      <c r="BF1491">
        <v>0</v>
      </c>
      <c r="BG1491">
        <v>0</v>
      </c>
      <c r="BH1491">
        <v>1</v>
      </c>
      <c r="BI1491">
        <v>1</v>
      </c>
      <c r="BJ1491">
        <v>0.2</v>
      </c>
      <c r="BK1491">
        <v>1</v>
      </c>
      <c r="BL1491">
        <v>76.06</v>
      </c>
      <c r="BM1491">
        <v>11.41</v>
      </c>
      <c r="BN1491">
        <v>87.47</v>
      </c>
      <c r="BO1491">
        <v>87.47</v>
      </c>
      <c r="BQ1491" t="s">
        <v>820</v>
      </c>
      <c r="BR1491" t="s">
        <v>82</v>
      </c>
      <c r="BS1491" t="s">
        <v>500</v>
      </c>
      <c r="BY1491">
        <v>1200</v>
      </c>
      <c r="CC1491" t="s">
        <v>142</v>
      </c>
      <c r="CD1491">
        <v>6020</v>
      </c>
      <c r="CE1491" t="s">
        <v>134</v>
      </c>
      <c r="CI1491">
        <v>1</v>
      </c>
      <c r="CJ1491" t="s">
        <v>500</v>
      </c>
      <c r="CK1491">
        <v>21</v>
      </c>
      <c r="CL1491" t="s">
        <v>87</v>
      </c>
    </row>
    <row r="1492" spans="1:90" x14ac:dyDescent="0.3">
      <c r="A1492" t="s">
        <v>72</v>
      </c>
      <c r="B1492" t="s">
        <v>73</v>
      </c>
      <c r="C1492" t="s">
        <v>74</v>
      </c>
      <c r="E1492" t="str">
        <f>"080069841182"</f>
        <v>080069841182</v>
      </c>
      <c r="F1492" s="3">
        <v>46002</v>
      </c>
      <c r="G1492">
        <v>202609</v>
      </c>
      <c r="H1492" t="s">
        <v>75</v>
      </c>
      <c r="I1492" t="s">
        <v>76</v>
      </c>
      <c r="J1492" t="s">
        <v>77</v>
      </c>
      <c r="K1492" t="s">
        <v>78</v>
      </c>
      <c r="L1492" t="s">
        <v>141</v>
      </c>
      <c r="M1492" t="s">
        <v>142</v>
      </c>
      <c r="N1492" t="s">
        <v>618</v>
      </c>
      <c r="O1492" t="s">
        <v>89</v>
      </c>
      <c r="P1492" t="str">
        <f>"4170072936                    "</f>
        <v xml:space="preserve">4170072936                    </v>
      </c>
      <c r="Q1492">
        <v>0</v>
      </c>
      <c r="R1492">
        <v>0</v>
      </c>
      <c r="S1492">
        <v>0</v>
      </c>
      <c r="T1492">
        <v>0</v>
      </c>
      <c r="U1492">
        <v>0</v>
      </c>
      <c r="V1492">
        <v>0</v>
      </c>
      <c r="W1492">
        <v>0</v>
      </c>
      <c r="X1492">
        <v>0</v>
      </c>
      <c r="Y1492">
        <v>0</v>
      </c>
      <c r="Z1492">
        <v>0</v>
      </c>
      <c r="AA1492">
        <v>0</v>
      </c>
      <c r="AB1492">
        <v>0</v>
      </c>
      <c r="AC1492">
        <v>0</v>
      </c>
      <c r="AD1492">
        <v>0</v>
      </c>
      <c r="AE1492">
        <v>0</v>
      </c>
      <c r="AF1492">
        <v>0</v>
      </c>
      <c r="AG1492">
        <v>0</v>
      </c>
      <c r="AH1492">
        <v>0</v>
      </c>
      <c r="AI1492">
        <v>0</v>
      </c>
      <c r="AJ1492">
        <v>0</v>
      </c>
      <c r="AK1492">
        <v>0</v>
      </c>
      <c r="AL1492">
        <v>0</v>
      </c>
      <c r="AM1492">
        <v>0</v>
      </c>
      <c r="AN1492">
        <v>0</v>
      </c>
      <c r="AO1492">
        <v>0</v>
      </c>
      <c r="AP1492">
        <v>0</v>
      </c>
      <c r="AQ1492">
        <v>229.62</v>
      </c>
      <c r="AR1492">
        <v>0</v>
      </c>
      <c r="AS1492">
        <v>0</v>
      </c>
      <c r="AT1492">
        <v>0</v>
      </c>
      <c r="AU1492">
        <v>0</v>
      </c>
      <c r="AV1492">
        <v>0</v>
      </c>
      <c r="AW1492">
        <v>0</v>
      </c>
      <c r="AX1492">
        <v>0</v>
      </c>
      <c r="AY1492">
        <v>0</v>
      </c>
      <c r="AZ1492">
        <v>0</v>
      </c>
      <c r="BA1492">
        <v>0</v>
      </c>
      <c r="BB1492">
        <v>0</v>
      </c>
      <c r="BC1492">
        <v>0</v>
      </c>
      <c r="BD1492">
        <v>0</v>
      </c>
      <c r="BE1492">
        <v>0</v>
      </c>
      <c r="BF1492">
        <v>0</v>
      </c>
      <c r="BG1492">
        <v>0</v>
      </c>
      <c r="BH1492">
        <v>3</v>
      </c>
      <c r="BI1492">
        <v>18</v>
      </c>
      <c r="BJ1492">
        <v>8.8000000000000007</v>
      </c>
      <c r="BK1492">
        <v>18</v>
      </c>
      <c r="BL1492">
        <v>684.32</v>
      </c>
      <c r="BM1492">
        <v>102.65</v>
      </c>
      <c r="BN1492">
        <v>786.97</v>
      </c>
      <c r="BO1492">
        <v>786.97</v>
      </c>
      <c r="BQ1492" t="s">
        <v>619</v>
      </c>
      <c r="BR1492" t="s">
        <v>82</v>
      </c>
      <c r="BS1492" t="s">
        <v>500</v>
      </c>
      <c r="BY1492">
        <v>26647</v>
      </c>
      <c r="CC1492" t="s">
        <v>142</v>
      </c>
      <c r="CD1492">
        <v>6001</v>
      </c>
      <c r="CE1492" t="s">
        <v>93</v>
      </c>
      <c r="CI1492">
        <v>1</v>
      </c>
      <c r="CJ1492" t="s">
        <v>500</v>
      </c>
      <c r="CK1492">
        <v>21</v>
      </c>
      <c r="CL1492" t="s">
        <v>87</v>
      </c>
    </row>
    <row r="1493" spans="1:90" x14ac:dyDescent="0.3">
      <c r="A1493" t="s">
        <v>72</v>
      </c>
      <c r="B1493" t="s">
        <v>73</v>
      </c>
      <c r="C1493" t="s">
        <v>74</v>
      </c>
      <c r="E1493" t="str">
        <f>"080069841288"</f>
        <v>080069841288</v>
      </c>
      <c r="F1493" s="3">
        <v>46002</v>
      </c>
      <c r="G1493">
        <v>202609</v>
      </c>
      <c r="H1493" t="s">
        <v>75</v>
      </c>
      <c r="I1493" t="s">
        <v>76</v>
      </c>
      <c r="J1493" t="s">
        <v>77</v>
      </c>
      <c r="K1493" t="s">
        <v>78</v>
      </c>
      <c r="L1493" t="s">
        <v>141</v>
      </c>
      <c r="M1493" t="s">
        <v>142</v>
      </c>
      <c r="N1493" t="s">
        <v>618</v>
      </c>
      <c r="O1493" t="s">
        <v>89</v>
      </c>
      <c r="P1493" t="str">
        <f>"4170072937                    "</f>
        <v xml:space="preserve">4170072937                    </v>
      </c>
      <c r="Q1493">
        <v>0</v>
      </c>
      <c r="R1493">
        <v>0</v>
      </c>
      <c r="S1493">
        <v>0</v>
      </c>
      <c r="T1493">
        <v>0</v>
      </c>
      <c r="U1493">
        <v>0</v>
      </c>
      <c r="V1493">
        <v>0</v>
      </c>
      <c r="W1493">
        <v>0</v>
      </c>
      <c r="X1493">
        <v>0</v>
      </c>
      <c r="Y1493">
        <v>0</v>
      </c>
      <c r="Z1493">
        <v>0</v>
      </c>
      <c r="AA1493">
        <v>0</v>
      </c>
      <c r="AB1493">
        <v>0</v>
      </c>
      <c r="AC1493">
        <v>0</v>
      </c>
      <c r="AD1493">
        <v>0</v>
      </c>
      <c r="AE1493">
        <v>0</v>
      </c>
      <c r="AF1493">
        <v>0</v>
      </c>
      <c r="AG1493">
        <v>0</v>
      </c>
      <c r="AH1493">
        <v>0</v>
      </c>
      <c r="AI1493">
        <v>0</v>
      </c>
      <c r="AJ1493">
        <v>0</v>
      </c>
      <c r="AK1493">
        <v>0</v>
      </c>
      <c r="AL1493">
        <v>0</v>
      </c>
      <c r="AM1493">
        <v>0</v>
      </c>
      <c r="AN1493">
        <v>0</v>
      </c>
      <c r="AO1493">
        <v>0</v>
      </c>
      <c r="AP1493">
        <v>0</v>
      </c>
      <c r="AQ1493">
        <v>89.3</v>
      </c>
      <c r="AR1493">
        <v>0</v>
      </c>
      <c r="AS1493">
        <v>0</v>
      </c>
      <c r="AT1493">
        <v>0</v>
      </c>
      <c r="AU1493">
        <v>0</v>
      </c>
      <c r="AV1493">
        <v>0</v>
      </c>
      <c r="AW1493">
        <v>0</v>
      </c>
      <c r="AX1493">
        <v>0</v>
      </c>
      <c r="AY1493">
        <v>0</v>
      </c>
      <c r="AZ1493">
        <v>0</v>
      </c>
      <c r="BA1493">
        <v>0</v>
      </c>
      <c r="BB1493">
        <v>0</v>
      </c>
      <c r="BC1493">
        <v>0</v>
      </c>
      <c r="BD1493">
        <v>0</v>
      </c>
      <c r="BE1493">
        <v>0</v>
      </c>
      <c r="BF1493">
        <v>0</v>
      </c>
      <c r="BG1493">
        <v>0</v>
      </c>
      <c r="BH1493">
        <v>1</v>
      </c>
      <c r="BI1493">
        <v>7</v>
      </c>
      <c r="BJ1493">
        <v>2.9</v>
      </c>
      <c r="BK1493">
        <v>7</v>
      </c>
      <c r="BL1493">
        <v>266.14</v>
      </c>
      <c r="BM1493">
        <v>39.92</v>
      </c>
      <c r="BN1493">
        <v>306.06</v>
      </c>
      <c r="BO1493">
        <v>306.06</v>
      </c>
      <c r="BQ1493" t="s">
        <v>619</v>
      </c>
      <c r="BR1493" t="s">
        <v>82</v>
      </c>
      <c r="BS1493" t="s">
        <v>500</v>
      </c>
      <c r="BY1493">
        <v>14703</v>
      </c>
      <c r="CC1493" t="s">
        <v>142</v>
      </c>
      <c r="CD1493">
        <v>6001</v>
      </c>
      <c r="CE1493" t="s">
        <v>93</v>
      </c>
      <c r="CI1493">
        <v>1</v>
      </c>
      <c r="CJ1493" t="s">
        <v>500</v>
      </c>
      <c r="CK1493">
        <v>21</v>
      </c>
      <c r="CL1493" t="s">
        <v>87</v>
      </c>
    </row>
    <row r="1494" spans="1:90" x14ac:dyDescent="0.3">
      <c r="A1494" t="s">
        <v>72</v>
      </c>
      <c r="B1494" t="s">
        <v>73</v>
      </c>
      <c r="C1494" t="s">
        <v>74</v>
      </c>
      <c r="E1494" t="str">
        <f>"080069841326"</f>
        <v>080069841326</v>
      </c>
      <c r="F1494" s="3">
        <v>46002</v>
      </c>
      <c r="G1494">
        <v>202609</v>
      </c>
      <c r="H1494" t="s">
        <v>75</v>
      </c>
      <c r="I1494" t="s">
        <v>76</v>
      </c>
      <c r="J1494" t="s">
        <v>77</v>
      </c>
      <c r="K1494" t="s">
        <v>78</v>
      </c>
      <c r="L1494" t="s">
        <v>156</v>
      </c>
      <c r="M1494" t="s">
        <v>157</v>
      </c>
      <c r="N1494" t="s">
        <v>1344</v>
      </c>
      <c r="O1494" t="s">
        <v>89</v>
      </c>
      <c r="P1494" t="str">
        <f>"4170073081                    "</f>
        <v xml:space="preserve">4170073081                    </v>
      </c>
      <c r="Q1494">
        <v>0</v>
      </c>
      <c r="R1494">
        <v>0</v>
      </c>
      <c r="S1494">
        <v>0</v>
      </c>
      <c r="T1494">
        <v>0</v>
      </c>
      <c r="U1494">
        <v>0</v>
      </c>
      <c r="V1494">
        <v>0</v>
      </c>
      <c r="W1494">
        <v>0</v>
      </c>
      <c r="X1494">
        <v>0</v>
      </c>
      <c r="Y1494">
        <v>0</v>
      </c>
      <c r="Z1494">
        <v>0</v>
      </c>
      <c r="AA1494">
        <v>0</v>
      </c>
      <c r="AB1494">
        <v>0</v>
      </c>
      <c r="AC1494">
        <v>0</v>
      </c>
      <c r="AD1494">
        <v>0</v>
      </c>
      <c r="AE1494">
        <v>0</v>
      </c>
      <c r="AF1494">
        <v>0</v>
      </c>
      <c r="AG1494">
        <v>0</v>
      </c>
      <c r="AH1494">
        <v>0</v>
      </c>
      <c r="AI1494">
        <v>0</v>
      </c>
      <c r="AJ1494">
        <v>0</v>
      </c>
      <c r="AK1494">
        <v>0</v>
      </c>
      <c r="AL1494">
        <v>0</v>
      </c>
      <c r="AM1494">
        <v>0</v>
      </c>
      <c r="AN1494">
        <v>0</v>
      </c>
      <c r="AO1494">
        <v>0</v>
      </c>
      <c r="AP1494">
        <v>0</v>
      </c>
      <c r="AQ1494">
        <v>25.52</v>
      </c>
      <c r="AR1494">
        <v>0</v>
      </c>
      <c r="AS1494">
        <v>0</v>
      </c>
      <c r="AT1494">
        <v>0</v>
      </c>
      <c r="AU1494">
        <v>0</v>
      </c>
      <c r="AV1494">
        <v>0</v>
      </c>
      <c r="AW1494">
        <v>0</v>
      </c>
      <c r="AX1494">
        <v>0</v>
      </c>
      <c r="AY1494">
        <v>0</v>
      </c>
      <c r="AZ1494">
        <v>0</v>
      </c>
      <c r="BA1494">
        <v>0</v>
      </c>
      <c r="BB1494">
        <v>0</v>
      </c>
      <c r="BC1494">
        <v>0</v>
      </c>
      <c r="BD1494">
        <v>0</v>
      </c>
      <c r="BE1494">
        <v>0</v>
      </c>
      <c r="BF1494">
        <v>0</v>
      </c>
      <c r="BG1494">
        <v>0</v>
      </c>
      <c r="BH1494">
        <v>1</v>
      </c>
      <c r="BI1494">
        <v>1</v>
      </c>
      <c r="BJ1494">
        <v>1.4</v>
      </c>
      <c r="BK1494">
        <v>1.5</v>
      </c>
      <c r="BL1494">
        <v>76.06</v>
      </c>
      <c r="BM1494">
        <v>11.41</v>
      </c>
      <c r="BN1494">
        <v>87.47</v>
      </c>
      <c r="BO1494">
        <v>87.47</v>
      </c>
      <c r="BQ1494" t="s">
        <v>1345</v>
      </c>
      <c r="BR1494" t="s">
        <v>82</v>
      </c>
      <c r="BS1494" t="s">
        <v>500</v>
      </c>
      <c r="BY1494">
        <v>7000</v>
      </c>
      <c r="CC1494" t="s">
        <v>157</v>
      </c>
      <c r="CD1494">
        <v>7405</v>
      </c>
      <c r="CE1494" t="s">
        <v>86</v>
      </c>
      <c r="CI1494">
        <v>1</v>
      </c>
      <c r="CJ1494" t="s">
        <v>500</v>
      </c>
      <c r="CK1494">
        <v>21</v>
      </c>
      <c r="CL1494" t="s">
        <v>87</v>
      </c>
    </row>
    <row r="1495" spans="1:90" x14ac:dyDescent="0.3">
      <c r="A1495" t="s">
        <v>72</v>
      </c>
      <c r="B1495" t="s">
        <v>73</v>
      </c>
      <c r="C1495" t="s">
        <v>74</v>
      </c>
      <c r="E1495" t="str">
        <f>"080069841561"</f>
        <v>080069841561</v>
      </c>
      <c r="F1495" s="3">
        <v>46002</v>
      </c>
      <c r="G1495">
        <v>202609</v>
      </c>
      <c r="H1495" t="s">
        <v>75</v>
      </c>
      <c r="I1495" t="s">
        <v>76</v>
      </c>
      <c r="J1495" t="s">
        <v>77</v>
      </c>
      <c r="K1495" t="s">
        <v>78</v>
      </c>
      <c r="L1495" t="s">
        <v>156</v>
      </c>
      <c r="M1495" t="s">
        <v>157</v>
      </c>
      <c r="N1495" t="s">
        <v>434</v>
      </c>
      <c r="O1495" t="s">
        <v>89</v>
      </c>
      <c r="P1495" t="str">
        <f>"4170073102                    "</f>
        <v xml:space="preserve">4170073102                    </v>
      </c>
      <c r="Q1495">
        <v>0</v>
      </c>
      <c r="R1495">
        <v>0</v>
      </c>
      <c r="S1495">
        <v>0</v>
      </c>
      <c r="T1495">
        <v>0</v>
      </c>
      <c r="U1495">
        <v>0</v>
      </c>
      <c r="V1495">
        <v>0</v>
      </c>
      <c r="W1495">
        <v>0</v>
      </c>
      <c r="X1495">
        <v>0</v>
      </c>
      <c r="Y1495">
        <v>0</v>
      </c>
      <c r="Z1495">
        <v>0</v>
      </c>
      <c r="AA1495">
        <v>0</v>
      </c>
      <c r="AB1495">
        <v>0</v>
      </c>
      <c r="AC1495">
        <v>0</v>
      </c>
      <c r="AD1495">
        <v>0</v>
      </c>
      <c r="AE1495">
        <v>0</v>
      </c>
      <c r="AF1495">
        <v>0</v>
      </c>
      <c r="AG1495">
        <v>0</v>
      </c>
      <c r="AH1495">
        <v>0</v>
      </c>
      <c r="AI1495">
        <v>0</v>
      </c>
      <c r="AJ1495">
        <v>0</v>
      </c>
      <c r="AK1495">
        <v>0</v>
      </c>
      <c r="AL1495">
        <v>0</v>
      </c>
      <c r="AM1495">
        <v>0</v>
      </c>
      <c r="AN1495">
        <v>0</v>
      </c>
      <c r="AO1495">
        <v>0</v>
      </c>
      <c r="AP1495">
        <v>0</v>
      </c>
      <c r="AQ1495">
        <v>25.52</v>
      </c>
      <c r="AR1495">
        <v>0</v>
      </c>
      <c r="AS1495">
        <v>0</v>
      </c>
      <c r="AT1495">
        <v>0</v>
      </c>
      <c r="AU1495">
        <v>0</v>
      </c>
      <c r="AV1495">
        <v>0</v>
      </c>
      <c r="AW1495">
        <v>0</v>
      </c>
      <c r="AX1495">
        <v>0</v>
      </c>
      <c r="AY1495">
        <v>0</v>
      </c>
      <c r="AZ1495">
        <v>0</v>
      </c>
      <c r="BA1495">
        <v>0</v>
      </c>
      <c r="BB1495">
        <v>0</v>
      </c>
      <c r="BC1495">
        <v>0</v>
      </c>
      <c r="BD1495">
        <v>0</v>
      </c>
      <c r="BE1495">
        <v>0</v>
      </c>
      <c r="BF1495">
        <v>0</v>
      </c>
      <c r="BG1495">
        <v>0</v>
      </c>
      <c r="BH1495">
        <v>1</v>
      </c>
      <c r="BI1495">
        <v>1</v>
      </c>
      <c r="BJ1495">
        <v>0.2</v>
      </c>
      <c r="BK1495">
        <v>1</v>
      </c>
      <c r="BL1495">
        <v>76.06</v>
      </c>
      <c r="BM1495">
        <v>11.41</v>
      </c>
      <c r="BN1495">
        <v>87.47</v>
      </c>
      <c r="BO1495">
        <v>87.47</v>
      </c>
      <c r="BQ1495" t="s">
        <v>435</v>
      </c>
      <c r="BR1495" t="s">
        <v>82</v>
      </c>
      <c r="BS1495" t="s">
        <v>500</v>
      </c>
      <c r="BY1495">
        <v>1200</v>
      </c>
      <c r="CC1495" t="s">
        <v>157</v>
      </c>
      <c r="CD1495">
        <v>7441</v>
      </c>
      <c r="CE1495" t="s">
        <v>134</v>
      </c>
      <c r="CI1495">
        <v>1</v>
      </c>
      <c r="CJ1495" t="s">
        <v>500</v>
      </c>
      <c r="CK1495">
        <v>21</v>
      </c>
      <c r="CL1495" t="s">
        <v>87</v>
      </c>
    </row>
    <row r="1496" spans="1:90" x14ac:dyDescent="0.3">
      <c r="A1496" t="s">
        <v>72</v>
      </c>
      <c r="B1496" t="s">
        <v>73</v>
      </c>
      <c r="C1496" t="s">
        <v>74</v>
      </c>
      <c r="E1496" t="str">
        <f>"080069841566"</f>
        <v>080069841566</v>
      </c>
      <c r="F1496" s="3">
        <v>46002</v>
      </c>
      <c r="G1496">
        <v>202609</v>
      </c>
      <c r="H1496" t="s">
        <v>75</v>
      </c>
      <c r="I1496" t="s">
        <v>76</v>
      </c>
      <c r="J1496" t="s">
        <v>77</v>
      </c>
      <c r="K1496" t="s">
        <v>78</v>
      </c>
      <c r="L1496" t="s">
        <v>502</v>
      </c>
      <c r="M1496" t="s">
        <v>503</v>
      </c>
      <c r="N1496" t="s">
        <v>738</v>
      </c>
      <c r="O1496" t="s">
        <v>89</v>
      </c>
      <c r="P1496" t="str">
        <f>"4170072956                    "</f>
        <v xml:space="preserve">4170072956                    </v>
      </c>
      <c r="Q1496">
        <v>0</v>
      </c>
      <c r="R1496">
        <v>0</v>
      </c>
      <c r="S1496">
        <v>0</v>
      </c>
      <c r="T1496">
        <v>0</v>
      </c>
      <c r="U1496">
        <v>0</v>
      </c>
      <c r="V1496">
        <v>0</v>
      </c>
      <c r="W1496">
        <v>0</v>
      </c>
      <c r="X1496">
        <v>0</v>
      </c>
      <c r="Y1496">
        <v>0</v>
      </c>
      <c r="Z1496">
        <v>0</v>
      </c>
      <c r="AA1496">
        <v>0</v>
      </c>
      <c r="AB1496">
        <v>0</v>
      </c>
      <c r="AC1496">
        <v>0</v>
      </c>
      <c r="AD1496">
        <v>0</v>
      </c>
      <c r="AE1496">
        <v>0</v>
      </c>
      <c r="AF1496">
        <v>0</v>
      </c>
      <c r="AG1496">
        <v>0</v>
      </c>
      <c r="AH1496">
        <v>0</v>
      </c>
      <c r="AI1496">
        <v>0</v>
      </c>
      <c r="AJ1496">
        <v>0</v>
      </c>
      <c r="AK1496">
        <v>0</v>
      </c>
      <c r="AL1496">
        <v>0</v>
      </c>
      <c r="AM1496">
        <v>0</v>
      </c>
      <c r="AN1496">
        <v>0</v>
      </c>
      <c r="AO1496">
        <v>0</v>
      </c>
      <c r="AP1496">
        <v>0</v>
      </c>
      <c r="AQ1496">
        <v>19.940000000000001</v>
      </c>
      <c r="AR1496">
        <v>0</v>
      </c>
      <c r="AS1496">
        <v>0</v>
      </c>
      <c r="AT1496">
        <v>0</v>
      </c>
      <c r="AU1496">
        <v>0</v>
      </c>
      <c r="AV1496">
        <v>0</v>
      </c>
      <c r="AW1496">
        <v>0</v>
      </c>
      <c r="AX1496">
        <v>0</v>
      </c>
      <c r="AY1496">
        <v>0</v>
      </c>
      <c r="AZ1496">
        <v>0</v>
      </c>
      <c r="BA1496">
        <v>0</v>
      </c>
      <c r="BB1496">
        <v>0</v>
      </c>
      <c r="BC1496">
        <v>0</v>
      </c>
      <c r="BD1496">
        <v>0</v>
      </c>
      <c r="BE1496">
        <v>0</v>
      </c>
      <c r="BF1496">
        <v>0</v>
      </c>
      <c r="BG1496">
        <v>0</v>
      </c>
      <c r="BH1496">
        <v>1</v>
      </c>
      <c r="BI1496">
        <v>3</v>
      </c>
      <c r="BJ1496">
        <v>1.5</v>
      </c>
      <c r="BK1496">
        <v>3</v>
      </c>
      <c r="BL1496">
        <v>59.42</v>
      </c>
      <c r="BM1496">
        <v>8.91</v>
      </c>
      <c r="BN1496">
        <v>68.33</v>
      </c>
      <c r="BO1496">
        <v>68.33</v>
      </c>
      <c r="BQ1496" t="s">
        <v>739</v>
      </c>
      <c r="BR1496" t="s">
        <v>82</v>
      </c>
      <c r="BS1496" t="s">
        <v>500</v>
      </c>
      <c r="BY1496">
        <v>7280</v>
      </c>
      <c r="CC1496" t="s">
        <v>503</v>
      </c>
      <c r="CD1496">
        <v>1559</v>
      </c>
      <c r="CE1496" t="s">
        <v>86</v>
      </c>
      <c r="CI1496">
        <v>1</v>
      </c>
      <c r="CJ1496" t="s">
        <v>500</v>
      </c>
      <c r="CK1496">
        <v>22</v>
      </c>
      <c r="CL1496" t="s">
        <v>87</v>
      </c>
    </row>
    <row r="1497" spans="1:90" x14ac:dyDescent="0.3">
      <c r="A1497" t="s">
        <v>72</v>
      </c>
      <c r="B1497" t="s">
        <v>73</v>
      </c>
      <c r="C1497" t="s">
        <v>74</v>
      </c>
      <c r="E1497" t="str">
        <f>"080069841611"</f>
        <v>080069841611</v>
      </c>
      <c r="F1497" s="3">
        <v>46002</v>
      </c>
      <c r="G1497">
        <v>202609</v>
      </c>
      <c r="H1497" t="s">
        <v>75</v>
      </c>
      <c r="I1497" t="s">
        <v>76</v>
      </c>
      <c r="J1497" t="s">
        <v>77</v>
      </c>
      <c r="K1497" t="s">
        <v>78</v>
      </c>
      <c r="L1497" t="s">
        <v>120</v>
      </c>
      <c r="M1497" t="s">
        <v>121</v>
      </c>
      <c r="N1497" t="s">
        <v>1736</v>
      </c>
      <c r="O1497" t="s">
        <v>89</v>
      </c>
      <c r="P1497" t="str">
        <f>"4170073038                    "</f>
        <v xml:space="preserve">4170073038                    </v>
      </c>
      <c r="Q1497">
        <v>0</v>
      </c>
      <c r="R1497">
        <v>0</v>
      </c>
      <c r="S1497">
        <v>0</v>
      </c>
      <c r="T1497">
        <v>0</v>
      </c>
      <c r="U1497">
        <v>0</v>
      </c>
      <c r="V1497">
        <v>0</v>
      </c>
      <c r="W1497">
        <v>0</v>
      </c>
      <c r="X1497">
        <v>0</v>
      </c>
      <c r="Y1497">
        <v>0</v>
      </c>
      <c r="Z1497">
        <v>0</v>
      </c>
      <c r="AA1497">
        <v>0</v>
      </c>
      <c r="AB1497">
        <v>0</v>
      </c>
      <c r="AC1497">
        <v>0</v>
      </c>
      <c r="AD1497">
        <v>0</v>
      </c>
      <c r="AE1497">
        <v>0</v>
      </c>
      <c r="AF1497">
        <v>0</v>
      </c>
      <c r="AG1497">
        <v>0</v>
      </c>
      <c r="AH1497">
        <v>0</v>
      </c>
      <c r="AI1497">
        <v>0</v>
      </c>
      <c r="AJ1497">
        <v>0</v>
      </c>
      <c r="AK1497">
        <v>0</v>
      </c>
      <c r="AL1497">
        <v>0</v>
      </c>
      <c r="AM1497">
        <v>0</v>
      </c>
      <c r="AN1497">
        <v>0</v>
      </c>
      <c r="AO1497">
        <v>0</v>
      </c>
      <c r="AP1497">
        <v>0</v>
      </c>
      <c r="AQ1497">
        <v>25.52</v>
      </c>
      <c r="AR1497">
        <v>0</v>
      </c>
      <c r="AS1497">
        <v>0</v>
      </c>
      <c r="AT1497">
        <v>0</v>
      </c>
      <c r="AU1497">
        <v>0</v>
      </c>
      <c r="AV1497">
        <v>0</v>
      </c>
      <c r="AW1497">
        <v>0</v>
      </c>
      <c r="AX1497">
        <v>0</v>
      </c>
      <c r="AY1497">
        <v>0</v>
      </c>
      <c r="AZ1497">
        <v>0</v>
      </c>
      <c r="BA1497">
        <v>0</v>
      </c>
      <c r="BB1497">
        <v>0</v>
      </c>
      <c r="BC1497">
        <v>0</v>
      </c>
      <c r="BD1497">
        <v>0</v>
      </c>
      <c r="BE1497">
        <v>0</v>
      </c>
      <c r="BF1497">
        <v>0</v>
      </c>
      <c r="BG1497">
        <v>0</v>
      </c>
      <c r="BH1497">
        <v>1</v>
      </c>
      <c r="BI1497">
        <v>1</v>
      </c>
      <c r="BJ1497">
        <v>0.2</v>
      </c>
      <c r="BK1497">
        <v>1</v>
      </c>
      <c r="BL1497">
        <v>76.06</v>
      </c>
      <c r="BM1497">
        <v>11.41</v>
      </c>
      <c r="BN1497">
        <v>87.47</v>
      </c>
      <c r="BO1497">
        <v>87.47</v>
      </c>
      <c r="BQ1497" t="s">
        <v>1737</v>
      </c>
      <c r="BR1497" t="s">
        <v>82</v>
      </c>
      <c r="BS1497" t="s">
        <v>500</v>
      </c>
      <c r="BY1497">
        <v>1200</v>
      </c>
      <c r="CC1497" t="s">
        <v>121</v>
      </c>
      <c r="CD1497">
        <v>6229</v>
      </c>
      <c r="CE1497" t="s">
        <v>134</v>
      </c>
      <c r="CI1497">
        <v>1</v>
      </c>
      <c r="CJ1497" t="s">
        <v>500</v>
      </c>
      <c r="CK1497">
        <v>21</v>
      </c>
      <c r="CL1497" t="s">
        <v>87</v>
      </c>
    </row>
    <row r="1498" spans="1:90" x14ac:dyDescent="0.3">
      <c r="A1498" t="s">
        <v>72</v>
      </c>
      <c r="B1498" t="s">
        <v>73</v>
      </c>
      <c r="C1498" t="s">
        <v>74</v>
      </c>
      <c r="E1498" t="str">
        <f>"080069841628"</f>
        <v>080069841628</v>
      </c>
      <c r="F1498" s="3">
        <v>46002</v>
      </c>
      <c r="G1498">
        <v>202609</v>
      </c>
      <c r="H1498" t="s">
        <v>75</v>
      </c>
      <c r="I1498" t="s">
        <v>76</v>
      </c>
      <c r="J1498" t="s">
        <v>77</v>
      </c>
      <c r="K1498" t="s">
        <v>78</v>
      </c>
      <c r="L1498" t="s">
        <v>100</v>
      </c>
      <c r="M1498" t="s">
        <v>101</v>
      </c>
      <c r="N1498" t="s">
        <v>741</v>
      </c>
      <c r="O1498" t="s">
        <v>89</v>
      </c>
      <c r="P1498" t="str">
        <f>"4170073075                    "</f>
        <v xml:space="preserve">4170073075                    </v>
      </c>
      <c r="Q1498">
        <v>0</v>
      </c>
      <c r="R1498">
        <v>0</v>
      </c>
      <c r="S1498">
        <v>0</v>
      </c>
      <c r="T1498">
        <v>0</v>
      </c>
      <c r="U1498">
        <v>0</v>
      </c>
      <c r="V1498">
        <v>0</v>
      </c>
      <c r="W1498">
        <v>0</v>
      </c>
      <c r="X1498">
        <v>0</v>
      </c>
      <c r="Y1498">
        <v>0</v>
      </c>
      <c r="Z1498">
        <v>0</v>
      </c>
      <c r="AA1498">
        <v>0</v>
      </c>
      <c r="AB1498">
        <v>0</v>
      </c>
      <c r="AC1498">
        <v>0</v>
      </c>
      <c r="AD1498">
        <v>0</v>
      </c>
      <c r="AE1498">
        <v>0</v>
      </c>
      <c r="AF1498">
        <v>0</v>
      </c>
      <c r="AG1498">
        <v>0</v>
      </c>
      <c r="AH1498">
        <v>0</v>
      </c>
      <c r="AI1498">
        <v>0</v>
      </c>
      <c r="AJ1498">
        <v>0</v>
      </c>
      <c r="AK1498">
        <v>0</v>
      </c>
      <c r="AL1498">
        <v>0</v>
      </c>
      <c r="AM1498">
        <v>0</v>
      </c>
      <c r="AN1498">
        <v>0</v>
      </c>
      <c r="AO1498">
        <v>0</v>
      </c>
      <c r="AP1498">
        <v>0</v>
      </c>
      <c r="AQ1498">
        <v>25.52</v>
      </c>
      <c r="AR1498">
        <v>0</v>
      </c>
      <c r="AS1498">
        <v>0</v>
      </c>
      <c r="AT1498">
        <v>0</v>
      </c>
      <c r="AU1498">
        <v>0</v>
      </c>
      <c r="AV1498">
        <v>0</v>
      </c>
      <c r="AW1498">
        <v>0</v>
      </c>
      <c r="AX1498">
        <v>0</v>
      </c>
      <c r="AY1498">
        <v>0</v>
      </c>
      <c r="AZ1498">
        <v>0</v>
      </c>
      <c r="BA1498">
        <v>0</v>
      </c>
      <c r="BB1498">
        <v>0</v>
      </c>
      <c r="BC1498">
        <v>0</v>
      </c>
      <c r="BD1498">
        <v>0</v>
      </c>
      <c r="BE1498">
        <v>0</v>
      </c>
      <c r="BF1498">
        <v>0</v>
      </c>
      <c r="BG1498">
        <v>0</v>
      </c>
      <c r="BH1498">
        <v>1</v>
      </c>
      <c r="BI1498">
        <v>1</v>
      </c>
      <c r="BJ1498">
        <v>0.2</v>
      </c>
      <c r="BK1498">
        <v>1</v>
      </c>
      <c r="BL1498">
        <v>76.06</v>
      </c>
      <c r="BM1498">
        <v>11.41</v>
      </c>
      <c r="BN1498">
        <v>87.47</v>
      </c>
      <c r="BO1498">
        <v>87.47</v>
      </c>
      <c r="BQ1498" t="s">
        <v>742</v>
      </c>
      <c r="BR1498" t="s">
        <v>82</v>
      </c>
      <c r="BS1498" t="s">
        <v>500</v>
      </c>
      <c r="BY1498">
        <v>1200</v>
      </c>
      <c r="CC1498" t="s">
        <v>101</v>
      </c>
      <c r="CD1498">
        <v>4068</v>
      </c>
      <c r="CE1498" t="s">
        <v>134</v>
      </c>
      <c r="CI1498">
        <v>1</v>
      </c>
      <c r="CJ1498" t="s">
        <v>500</v>
      </c>
      <c r="CK1498">
        <v>21</v>
      </c>
      <c r="CL1498" t="s">
        <v>87</v>
      </c>
    </row>
    <row r="1499" spans="1:90" x14ac:dyDescent="0.3">
      <c r="A1499" t="s">
        <v>72</v>
      </c>
      <c r="B1499" t="s">
        <v>73</v>
      </c>
      <c r="C1499" t="s">
        <v>74</v>
      </c>
      <c r="E1499" t="str">
        <f>"080069841636"</f>
        <v>080069841636</v>
      </c>
      <c r="F1499" s="3">
        <v>46002</v>
      </c>
      <c r="G1499">
        <v>202609</v>
      </c>
      <c r="H1499" t="s">
        <v>75</v>
      </c>
      <c r="I1499" t="s">
        <v>76</v>
      </c>
      <c r="J1499" t="s">
        <v>77</v>
      </c>
      <c r="K1499" t="s">
        <v>78</v>
      </c>
      <c r="L1499" t="s">
        <v>141</v>
      </c>
      <c r="M1499" t="s">
        <v>142</v>
      </c>
      <c r="N1499" t="s">
        <v>143</v>
      </c>
      <c r="O1499" t="s">
        <v>89</v>
      </c>
      <c r="P1499" t="str">
        <f>"4170073026                    "</f>
        <v xml:space="preserve">4170073026                    </v>
      </c>
      <c r="Q1499">
        <v>0</v>
      </c>
      <c r="R1499">
        <v>0</v>
      </c>
      <c r="S1499">
        <v>0</v>
      </c>
      <c r="T1499">
        <v>0</v>
      </c>
      <c r="U1499">
        <v>0</v>
      </c>
      <c r="V1499">
        <v>0</v>
      </c>
      <c r="W1499">
        <v>0</v>
      </c>
      <c r="X1499">
        <v>0</v>
      </c>
      <c r="Y1499">
        <v>0</v>
      </c>
      <c r="Z1499">
        <v>0</v>
      </c>
      <c r="AA1499">
        <v>0</v>
      </c>
      <c r="AB1499">
        <v>0</v>
      </c>
      <c r="AC1499">
        <v>0</v>
      </c>
      <c r="AD1499">
        <v>0</v>
      </c>
      <c r="AE1499">
        <v>0</v>
      </c>
      <c r="AF1499">
        <v>0</v>
      </c>
      <c r="AG1499">
        <v>0</v>
      </c>
      <c r="AH1499">
        <v>0</v>
      </c>
      <c r="AI1499">
        <v>0</v>
      </c>
      <c r="AJ1499">
        <v>0</v>
      </c>
      <c r="AK1499">
        <v>0</v>
      </c>
      <c r="AL1499">
        <v>0</v>
      </c>
      <c r="AM1499">
        <v>0</v>
      </c>
      <c r="AN1499">
        <v>0</v>
      </c>
      <c r="AO1499">
        <v>0</v>
      </c>
      <c r="AP1499">
        <v>0</v>
      </c>
      <c r="AQ1499">
        <v>25.52</v>
      </c>
      <c r="AR1499">
        <v>0</v>
      </c>
      <c r="AS1499">
        <v>0</v>
      </c>
      <c r="AT1499">
        <v>0</v>
      </c>
      <c r="AU1499">
        <v>0</v>
      </c>
      <c r="AV1499">
        <v>0</v>
      </c>
      <c r="AW1499">
        <v>0</v>
      </c>
      <c r="AX1499">
        <v>0</v>
      </c>
      <c r="AY1499">
        <v>0</v>
      </c>
      <c r="AZ1499">
        <v>0</v>
      </c>
      <c r="BA1499">
        <v>0</v>
      </c>
      <c r="BB1499">
        <v>0</v>
      </c>
      <c r="BC1499">
        <v>0</v>
      </c>
      <c r="BD1499">
        <v>0</v>
      </c>
      <c r="BE1499">
        <v>0</v>
      </c>
      <c r="BF1499">
        <v>0</v>
      </c>
      <c r="BG1499">
        <v>0</v>
      </c>
      <c r="BH1499">
        <v>1</v>
      </c>
      <c r="BI1499">
        <v>1</v>
      </c>
      <c r="BJ1499">
        <v>0.2</v>
      </c>
      <c r="BK1499">
        <v>1</v>
      </c>
      <c r="BL1499">
        <v>76.06</v>
      </c>
      <c r="BM1499">
        <v>11.41</v>
      </c>
      <c r="BN1499">
        <v>87.47</v>
      </c>
      <c r="BO1499">
        <v>87.47</v>
      </c>
      <c r="BQ1499" t="s">
        <v>144</v>
      </c>
      <c r="BR1499" t="s">
        <v>82</v>
      </c>
      <c r="BS1499" t="s">
        <v>500</v>
      </c>
      <c r="BY1499">
        <v>1200</v>
      </c>
      <c r="CC1499" t="s">
        <v>142</v>
      </c>
      <c r="CD1499">
        <v>6001</v>
      </c>
      <c r="CE1499" t="s">
        <v>134</v>
      </c>
      <c r="CI1499">
        <v>1</v>
      </c>
      <c r="CJ1499" t="s">
        <v>500</v>
      </c>
      <c r="CK1499">
        <v>21</v>
      </c>
      <c r="CL1499" t="s">
        <v>87</v>
      </c>
    </row>
    <row r="1500" spans="1:90" x14ac:dyDescent="0.3">
      <c r="A1500" t="s">
        <v>72</v>
      </c>
      <c r="B1500" t="s">
        <v>73</v>
      </c>
      <c r="C1500" t="s">
        <v>74</v>
      </c>
      <c r="E1500" t="str">
        <f>"080069841663"</f>
        <v>080069841663</v>
      </c>
      <c r="F1500" s="3">
        <v>46002</v>
      </c>
      <c r="G1500">
        <v>202609</v>
      </c>
      <c r="H1500" t="s">
        <v>75</v>
      </c>
      <c r="I1500" t="s">
        <v>76</v>
      </c>
      <c r="J1500" t="s">
        <v>77</v>
      </c>
      <c r="K1500" t="s">
        <v>78</v>
      </c>
      <c r="L1500" t="s">
        <v>100</v>
      </c>
      <c r="M1500" t="s">
        <v>101</v>
      </c>
      <c r="N1500" t="s">
        <v>249</v>
      </c>
      <c r="O1500" t="s">
        <v>89</v>
      </c>
      <c r="P1500" t="str">
        <f>"4170073104                    "</f>
        <v xml:space="preserve">4170073104                    </v>
      </c>
      <c r="Q1500">
        <v>0</v>
      </c>
      <c r="R1500">
        <v>0</v>
      </c>
      <c r="S1500">
        <v>0</v>
      </c>
      <c r="T1500">
        <v>0</v>
      </c>
      <c r="U1500">
        <v>0</v>
      </c>
      <c r="V1500">
        <v>0</v>
      </c>
      <c r="W1500">
        <v>0</v>
      </c>
      <c r="X1500">
        <v>0</v>
      </c>
      <c r="Y1500">
        <v>0</v>
      </c>
      <c r="Z1500">
        <v>0</v>
      </c>
      <c r="AA1500">
        <v>0</v>
      </c>
      <c r="AB1500">
        <v>0</v>
      </c>
      <c r="AC1500">
        <v>0</v>
      </c>
      <c r="AD1500">
        <v>0</v>
      </c>
      <c r="AE1500">
        <v>0</v>
      </c>
      <c r="AF1500">
        <v>0</v>
      </c>
      <c r="AG1500">
        <v>0</v>
      </c>
      <c r="AH1500">
        <v>0</v>
      </c>
      <c r="AI1500">
        <v>0</v>
      </c>
      <c r="AJ1500">
        <v>0</v>
      </c>
      <c r="AK1500">
        <v>0</v>
      </c>
      <c r="AL1500">
        <v>0</v>
      </c>
      <c r="AM1500">
        <v>0</v>
      </c>
      <c r="AN1500">
        <v>0</v>
      </c>
      <c r="AO1500">
        <v>0</v>
      </c>
      <c r="AP1500">
        <v>0</v>
      </c>
      <c r="AQ1500">
        <v>25.52</v>
      </c>
      <c r="AR1500">
        <v>0</v>
      </c>
      <c r="AS1500">
        <v>0</v>
      </c>
      <c r="AT1500">
        <v>0</v>
      </c>
      <c r="AU1500">
        <v>0</v>
      </c>
      <c r="AV1500">
        <v>0</v>
      </c>
      <c r="AW1500">
        <v>0</v>
      </c>
      <c r="AX1500">
        <v>0</v>
      </c>
      <c r="AY1500">
        <v>0</v>
      </c>
      <c r="AZ1500">
        <v>0</v>
      </c>
      <c r="BA1500">
        <v>0</v>
      </c>
      <c r="BB1500">
        <v>0</v>
      </c>
      <c r="BC1500">
        <v>0</v>
      </c>
      <c r="BD1500">
        <v>0</v>
      </c>
      <c r="BE1500">
        <v>0</v>
      </c>
      <c r="BF1500">
        <v>0</v>
      </c>
      <c r="BG1500">
        <v>0</v>
      </c>
      <c r="BH1500">
        <v>1</v>
      </c>
      <c r="BI1500">
        <v>1</v>
      </c>
      <c r="BJ1500">
        <v>0.2</v>
      </c>
      <c r="BK1500">
        <v>1</v>
      </c>
      <c r="BL1500">
        <v>76.06</v>
      </c>
      <c r="BM1500">
        <v>11.41</v>
      </c>
      <c r="BN1500">
        <v>87.47</v>
      </c>
      <c r="BO1500">
        <v>87.47</v>
      </c>
      <c r="BQ1500" t="s">
        <v>250</v>
      </c>
      <c r="BR1500" t="s">
        <v>82</v>
      </c>
      <c r="BS1500" t="s">
        <v>500</v>
      </c>
      <c r="BY1500">
        <v>1200</v>
      </c>
      <c r="CC1500" t="s">
        <v>101</v>
      </c>
      <c r="CD1500">
        <v>4068</v>
      </c>
      <c r="CE1500" t="s">
        <v>134</v>
      </c>
      <c r="CI1500">
        <v>1</v>
      </c>
      <c r="CJ1500" t="s">
        <v>500</v>
      </c>
      <c r="CK1500">
        <v>21</v>
      </c>
      <c r="CL1500" t="s">
        <v>87</v>
      </c>
    </row>
    <row r="1501" spans="1:90" x14ac:dyDescent="0.3">
      <c r="A1501" t="s">
        <v>72</v>
      </c>
      <c r="B1501" t="s">
        <v>73</v>
      </c>
      <c r="C1501" t="s">
        <v>74</v>
      </c>
      <c r="E1501" t="str">
        <f>"080069841660"</f>
        <v>080069841660</v>
      </c>
      <c r="F1501" s="3">
        <v>46002</v>
      </c>
      <c r="G1501">
        <v>202609</v>
      </c>
      <c r="H1501" t="s">
        <v>75</v>
      </c>
      <c r="I1501" t="s">
        <v>76</v>
      </c>
      <c r="J1501" t="s">
        <v>77</v>
      </c>
      <c r="K1501" t="s">
        <v>78</v>
      </c>
      <c r="L1501" t="s">
        <v>141</v>
      </c>
      <c r="M1501" t="s">
        <v>142</v>
      </c>
      <c r="N1501" t="s">
        <v>587</v>
      </c>
      <c r="O1501" t="s">
        <v>89</v>
      </c>
      <c r="P1501" t="str">
        <f>"4170073059                    "</f>
        <v xml:space="preserve">4170073059                    </v>
      </c>
      <c r="Q1501">
        <v>0</v>
      </c>
      <c r="R1501">
        <v>0</v>
      </c>
      <c r="S1501">
        <v>0</v>
      </c>
      <c r="T1501">
        <v>0</v>
      </c>
      <c r="U1501">
        <v>0</v>
      </c>
      <c r="V1501">
        <v>0</v>
      </c>
      <c r="W1501">
        <v>0</v>
      </c>
      <c r="X1501">
        <v>0</v>
      </c>
      <c r="Y1501">
        <v>0</v>
      </c>
      <c r="Z1501">
        <v>0</v>
      </c>
      <c r="AA1501">
        <v>0</v>
      </c>
      <c r="AB1501">
        <v>0</v>
      </c>
      <c r="AC1501">
        <v>0</v>
      </c>
      <c r="AD1501">
        <v>0</v>
      </c>
      <c r="AE1501">
        <v>0</v>
      </c>
      <c r="AF1501">
        <v>0</v>
      </c>
      <c r="AG1501">
        <v>0</v>
      </c>
      <c r="AH1501">
        <v>0</v>
      </c>
      <c r="AI1501">
        <v>0</v>
      </c>
      <c r="AJ1501">
        <v>0</v>
      </c>
      <c r="AK1501">
        <v>0</v>
      </c>
      <c r="AL1501">
        <v>0</v>
      </c>
      <c r="AM1501">
        <v>0</v>
      </c>
      <c r="AN1501">
        <v>0</v>
      </c>
      <c r="AO1501">
        <v>0</v>
      </c>
      <c r="AP1501">
        <v>0</v>
      </c>
      <c r="AQ1501">
        <v>25.52</v>
      </c>
      <c r="AR1501">
        <v>0</v>
      </c>
      <c r="AS1501">
        <v>0</v>
      </c>
      <c r="AT1501">
        <v>0</v>
      </c>
      <c r="AU1501">
        <v>0</v>
      </c>
      <c r="AV1501">
        <v>0</v>
      </c>
      <c r="AW1501">
        <v>0</v>
      </c>
      <c r="AX1501">
        <v>0</v>
      </c>
      <c r="AY1501">
        <v>0</v>
      </c>
      <c r="AZ1501">
        <v>0</v>
      </c>
      <c r="BA1501">
        <v>0</v>
      </c>
      <c r="BB1501">
        <v>0</v>
      </c>
      <c r="BC1501">
        <v>0</v>
      </c>
      <c r="BD1501">
        <v>0</v>
      </c>
      <c r="BE1501">
        <v>0</v>
      </c>
      <c r="BF1501">
        <v>0</v>
      </c>
      <c r="BG1501">
        <v>0</v>
      </c>
      <c r="BH1501">
        <v>1</v>
      </c>
      <c r="BI1501">
        <v>1</v>
      </c>
      <c r="BJ1501">
        <v>0.2</v>
      </c>
      <c r="BK1501">
        <v>1</v>
      </c>
      <c r="BL1501">
        <v>76.06</v>
      </c>
      <c r="BM1501">
        <v>11.41</v>
      </c>
      <c r="BN1501">
        <v>87.47</v>
      </c>
      <c r="BO1501">
        <v>87.47</v>
      </c>
      <c r="BQ1501" t="s">
        <v>588</v>
      </c>
      <c r="BR1501" t="s">
        <v>82</v>
      </c>
      <c r="BS1501" t="s">
        <v>500</v>
      </c>
      <c r="BY1501">
        <v>1200</v>
      </c>
      <c r="CC1501" t="s">
        <v>142</v>
      </c>
      <c r="CD1501">
        <v>6001</v>
      </c>
      <c r="CE1501" t="s">
        <v>134</v>
      </c>
      <c r="CI1501">
        <v>1</v>
      </c>
      <c r="CJ1501" t="s">
        <v>500</v>
      </c>
      <c r="CK1501">
        <v>21</v>
      </c>
      <c r="CL1501" t="s">
        <v>87</v>
      </c>
    </row>
    <row r="1502" spans="1:90" x14ac:dyDescent="0.3">
      <c r="A1502" t="s">
        <v>72</v>
      </c>
      <c r="B1502" t="s">
        <v>73</v>
      </c>
      <c r="C1502" t="s">
        <v>74</v>
      </c>
      <c r="E1502" t="str">
        <f>"080069841710"</f>
        <v>080069841710</v>
      </c>
      <c r="F1502" s="3">
        <v>46002</v>
      </c>
      <c r="G1502">
        <v>202609</v>
      </c>
      <c r="H1502" t="s">
        <v>75</v>
      </c>
      <c r="I1502" t="s">
        <v>76</v>
      </c>
      <c r="J1502" t="s">
        <v>77</v>
      </c>
      <c r="K1502" t="s">
        <v>78</v>
      </c>
      <c r="L1502" t="s">
        <v>548</v>
      </c>
      <c r="M1502" t="s">
        <v>549</v>
      </c>
      <c r="N1502" t="s">
        <v>572</v>
      </c>
      <c r="O1502" t="s">
        <v>80</v>
      </c>
      <c r="P1502" t="str">
        <f>"4170072923                    "</f>
        <v xml:space="preserve">4170072923                    </v>
      </c>
      <c r="Q1502">
        <v>0</v>
      </c>
      <c r="R1502">
        <v>0</v>
      </c>
      <c r="S1502">
        <v>0</v>
      </c>
      <c r="T1502">
        <v>0</v>
      </c>
      <c r="U1502">
        <v>0</v>
      </c>
      <c r="V1502">
        <v>0</v>
      </c>
      <c r="W1502">
        <v>0</v>
      </c>
      <c r="X1502">
        <v>0</v>
      </c>
      <c r="Y1502">
        <v>0</v>
      </c>
      <c r="Z1502">
        <v>0</v>
      </c>
      <c r="AA1502">
        <v>0</v>
      </c>
      <c r="AB1502">
        <v>0</v>
      </c>
      <c r="AC1502">
        <v>0</v>
      </c>
      <c r="AD1502">
        <v>0</v>
      </c>
      <c r="AE1502">
        <v>0</v>
      </c>
      <c r="AF1502">
        <v>0</v>
      </c>
      <c r="AG1502">
        <v>0</v>
      </c>
      <c r="AH1502">
        <v>0</v>
      </c>
      <c r="AI1502">
        <v>0</v>
      </c>
      <c r="AJ1502">
        <v>0</v>
      </c>
      <c r="AK1502">
        <v>0</v>
      </c>
      <c r="AL1502">
        <v>0</v>
      </c>
      <c r="AM1502">
        <v>0</v>
      </c>
      <c r="AN1502">
        <v>0</v>
      </c>
      <c r="AO1502">
        <v>0</v>
      </c>
      <c r="AP1502">
        <v>0</v>
      </c>
      <c r="AQ1502">
        <v>147.83000000000001</v>
      </c>
      <c r="AR1502">
        <v>0</v>
      </c>
      <c r="AS1502">
        <v>0</v>
      </c>
      <c r="AT1502">
        <v>0</v>
      </c>
      <c r="AU1502">
        <v>0</v>
      </c>
      <c r="AV1502">
        <v>0</v>
      </c>
      <c r="AW1502">
        <v>0</v>
      </c>
      <c r="AX1502">
        <v>0</v>
      </c>
      <c r="AY1502">
        <v>0</v>
      </c>
      <c r="AZ1502">
        <v>0</v>
      </c>
      <c r="BA1502">
        <v>0</v>
      </c>
      <c r="BB1502">
        <v>0</v>
      </c>
      <c r="BC1502">
        <v>0</v>
      </c>
      <c r="BD1502">
        <v>0</v>
      </c>
      <c r="BE1502">
        <v>0</v>
      </c>
      <c r="BF1502">
        <v>0</v>
      </c>
      <c r="BG1502">
        <v>0</v>
      </c>
      <c r="BH1502">
        <v>2</v>
      </c>
      <c r="BI1502">
        <v>23</v>
      </c>
      <c r="BJ1502">
        <v>36.5</v>
      </c>
      <c r="BK1502">
        <v>37</v>
      </c>
      <c r="BL1502">
        <v>446.66</v>
      </c>
      <c r="BM1502">
        <v>67</v>
      </c>
      <c r="BN1502">
        <v>513.66</v>
      </c>
      <c r="BO1502">
        <v>513.66</v>
      </c>
      <c r="BQ1502" t="s">
        <v>573</v>
      </c>
      <c r="BR1502" t="s">
        <v>82</v>
      </c>
      <c r="BS1502" t="s">
        <v>500</v>
      </c>
      <c r="BY1502">
        <v>182528</v>
      </c>
      <c r="CC1502" t="s">
        <v>549</v>
      </c>
      <c r="CD1502">
        <v>2302</v>
      </c>
      <c r="CE1502" t="s">
        <v>86</v>
      </c>
      <c r="CI1502">
        <v>1</v>
      </c>
      <c r="CJ1502" t="s">
        <v>500</v>
      </c>
      <c r="CK1502">
        <v>43</v>
      </c>
      <c r="CL1502" t="s">
        <v>87</v>
      </c>
    </row>
    <row r="1503" spans="1:90" x14ac:dyDescent="0.3">
      <c r="A1503" t="s">
        <v>72</v>
      </c>
      <c r="B1503" t="s">
        <v>73</v>
      </c>
      <c r="C1503" t="s">
        <v>74</v>
      </c>
      <c r="E1503" t="str">
        <f>"080069841795"</f>
        <v>080069841795</v>
      </c>
      <c r="F1503" s="3">
        <v>46002</v>
      </c>
      <c r="G1503">
        <v>202609</v>
      </c>
      <c r="H1503" t="s">
        <v>75</v>
      </c>
      <c r="I1503" t="s">
        <v>76</v>
      </c>
      <c r="J1503" t="s">
        <v>77</v>
      </c>
      <c r="K1503" t="s">
        <v>78</v>
      </c>
      <c r="L1503" t="s">
        <v>141</v>
      </c>
      <c r="M1503" t="s">
        <v>142</v>
      </c>
      <c r="N1503" t="s">
        <v>1375</v>
      </c>
      <c r="O1503" t="s">
        <v>89</v>
      </c>
      <c r="P1503" t="str">
        <f>"4170073065                    "</f>
        <v xml:space="preserve">4170073065                    </v>
      </c>
      <c r="Q1503">
        <v>0</v>
      </c>
      <c r="R1503">
        <v>0</v>
      </c>
      <c r="S1503">
        <v>0</v>
      </c>
      <c r="T1503">
        <v>0</v>
      </c>
      <c r="U1503">
        <v>0</v>
      </c>
      <c r="V1503">
        <v>0</v>
      </c>
      <c r="W1503">
        <v>0</v>
      </c>
      <c r="X1503">
        <v>0</v>
      </c>
      <c r="Y1503">
        <v>0</v>
      </c>
      <c r="Z1503">
        <v>0</v>
      </c>
      <c r="AA1503">
        <v>0</v>
      </c>
      <c r="AB1503">
        <v>0</v>
      </c>
      <c r="AC1503">
        <v>0</v>
      </c>
      <c r="AD1503">
        <v>0</v>
      </c>
      <c r="AE1503">
        <v>0</v>
      </c>
      <c r="AF1503">
        <v>0</v>
      </c>
      <c r="AG1503">
        <v>0</v>
      </c>
      <c r="AH1503">
        <v>0</v>
      </c>
      <c r="AI1503">
        <v>0</v>
      </c>
      <c r="AJ1503">
        <v>0</v>
      </c>
      <c r="AK1503">
        <v>0</v>
      </c>
      <c r="AL1503">
        <v>0</v>
      </c>
      <c r="AM1503">
        <v>0</v>
      </c>
      <c r="AN1503">
        <v>0</v>
      </c>
      <c r="AO1503">
        <v>0</v>
      </c>
      <c r="AP1503">
        <v>0</v>
      </c>
      <c r="AQ1503">
        <v>76.55</v>
      </c>
      <c r="AR1503">
        <v>0</v>
      </c>
      <c r="AS1503">
        <v>0</v>
      </c>
      <c r="AT1503">
        <v>0</v>
      </c>
      <c r="AU1503">
        <v>0</v>
      </c>
      <c r="AV1503">
        <v>0</v>
      </c>
      <c r="AW1503">
        <v>0</v>
      </c>
      <c r="AX1503">
        <v>0</v>
      </c>
      <c r="AY1503">
        <v>0</v>
      </c>
      <c r="AZ1503">
        <v>0</v>
      </c>
      <c r="BA1503">
        <v>0</v>
      </c>
      <c r="BB1503">
        <v>0</v>
      </c>
      <c r="BC1503">
        <v>0</v>
      </c>
      <c r="BD1503">
        <v>0</v>
      </c>
      <c r="BE1503">
        <v>0</v>
      </c>
      <c r="BF1503">
        <v>0</v>
      </c>
      <c r="BG1503">
        <v>0</v>
      </c>
      <c r="BH1503">
        <v>1</v>
      </c>
      <c r="BI1503">
        <v>6</v>
      </c>
      <c r="BJ1503">
        <v>2.5</v>
      </c>
      <c r="BK1503">
        <v>6</v>
      </c>
      <c r="BL1503">
        <v>228.13</v>
      </c>
      <c r="BM1503">
        <v>34.22</v>
      </c>
      <c r="BN1503">
        <v>262.35000000000002</v>
      </c>
      <c r="BO1503">
        <v>262.35000000000002</v>
      </c>
      <c r="BQ1503" t="s">
        <v>1376</v>
      </c>
      <c r="BR1503" t="s">
        <v>82</v>
      </c>
      <c r="BS1503" t="s">
        <v>500</v>
      </c>
      <c r="BY1503">
        <v>12350</v>
      </c>
      <c r="CC1503" t="s">
        <v>142</v>
      </c>
      <c r="CD1503">
        <v>6001</v>
      </c>
      <c r="CE1503" t="s">
        <v>93</v>
      </c>
      <c r="CI1503">
        <v>1</v>
      </c>
      <c r="CJ1503" t="s">
        <v>500</v>
      </c>
      <c r="CK1503">
        <v>21</v>
      </c>
      <c r="CL1503" t="s">
        <v>87</v>
      </c>
    </row>
    <row r="1504" spans="1:90" x14ac:dyDescent="0.3">
      <c r="A1504" t="s">
        <v>72</v>
      </c>
      <c r="B1504" t="s">
        <v>73</v>
      </c>
      <c r="C1504" t="s">
        <v>74</v>
      </c>
      <c r="E1504" t="str">
        <f>"080069841850"</f>
        <v>080069841850</v>
      </c>
      <c r="F1504" s="3">
        <v>46002</v>
      </c>
      <c r="G1504">
        <v>202609</v>
      </c>
      <c r="H1504" t="s">
        <v>75</v>
      </c>
      <c r="I1504" t="s">
        <v>76</v>
      </c>
      <c r="J1504" t="s">
        <v>77</v>
      </c>
      <c r="K1504" t="s">
        <v>78</v>
      </c>
      <c r="L1504" t="s">
        <v>156</v>
      </c>
      <c r="M1504" t="s">
        <v>157</v>
      </c>
      <c r="N1504" t="s">
        <v>2158</v>
      </c>
      <c r="O1504" t="s">
        <v>89</v>
      </c>
      <c r="P1504" t="str">
        <f>"4170073109                    "</f>
        <v xml:space="preserve">4170073109                    </v>
      </c>
      <c r="Q1504">
        <v>0</v>
      </c>
      <c r="R1504">
        <v>0</v>
      </c>
      <c r="S1504">
        <v>0</v>
      </c>
      <c r="T1504">
        <v>0</v>
      </c>
      <c r="U1504">
        <v>0</v>
      </c>
      <c r="V1504">
        <v>0</v>
      </c>
      <c r="W1504">
        <v>0</v>
      </c>
      <c r="X1504">
        <v>0</v>
      </c>
      <c r="Y1504">
        <v>0</v>
      </c>
      <c r="Z1504">
        <v>0</v>
      </c>
      <c r="AA1504">
        <v>0</v>
      </c>
      <c r="AB1504">
        <v>0</v>
      </c>
      <c r="AC1504">
        <v>0</v>
      </c>
      <c r="AD1504">
        <v>0</v>
      </c>
      <c r="AE1504">
        <v>0</v>
      </c>
      <c r="AF1504">
        <v>0</v>
      </c>
      <c r="AG1504">
        <v>0</v>
      </c>
      <c r="AH1504">
        <v>0</v>
      </c>
      <c r="AI1504">
        <v>0</v>
      </c>
      <c r="AJ1504">
        <v>0</v>
      </c>
      <c r="AK1504">
        <v>0</v>
      </c>
      <c r="AL1504">
        <v>0</v>
      </c>
      <c r="AM1504">
        <v>0</v>
      </c>
      <c r="AN1504">
        <v>0</v>
      </c>
      <c r="AO1504">
        <v>0</v>
      </c>
      <c r="AP1504">
        <v>0</v>
      </c>
      <c r="AQ1504">
        <v>25.52</v>
      </c>
      <c r="AR1504">
        <v>0</v>
      </c>
      <c r="AS1504">
        <v>0</v>
      </c>
      <c r="AT1504">
        <v>0</v>
      </c>
      <c r="AU1504">
        <v>0</v>
      </c>
      <c r="AV1504">
        <v>0</v>
      </c>
      <c r="AW1504">
        <v>0</v>
      </c>
      <c r="AX1504">
        <v>0</v>
      </c>
      <c r="AY1504">
        <v>0</v>
      </c>
      <c r="AZ1504">
        <v>0</v>
      </c>
      <c r="BA1504">
        <v>0</v>
      </c>
      <c r="BB1504">
        <v>0</v>
      </c>
      <c r="BC1504">
        <v>0</v>
      </c>
      <c r="BD1504">
        <v>0</v>
      </c>
      <c r="BE1504">
        <v>0</v>
      </c>
      <c r="BF1504">
        <v>0</v>
      </c>
      <c r="BG1504">
        <v>0</v>
      </c>
      <c r="BH1504">
        <v>1</v>
      </c>
      <c r="BI1504">
        <v>2</v>
      </c>
      <c r="BJ1504">
        <v>1.1000000000000001</v>
      </c>
      <c r="BK1504">
        <v>2</v>
      </c>
      <c r="BL1504">
        <v>76.06</v>
      </c>
      <c r="BM1504">
        <v>11.41</v>
      </c>
      <c r="BN1504">
        <v>87.47</v>
      </c>
      <c r="BO1504">
        <v>87.47</v>
      </c>
      <c r="BQ1504" t="s">
        <v>2159</v>
      </c>
      <c r="BR1504" t="s">
        <v>82</v>
      </c>
      <c r="BS1504" t="s">
        <v>500</v>
      </c>
      <c r="BY1504">
        <v>5320</v>
      </c>
      <c r="CC1504" t="s">
        <v>157</v>
      </c>
      <c r="CD1504">
        <v>7405</v>
      </c>
      <c r="CE1504" t="s">
        <v>86</v>
      </c>
      <c r="CI1504">
        <v>1</v>
      </c>
      <c r="CJ1504" t="s">
        <v>500</v>
      </c>
      <c r="CK1504">
        <v>21</v>
      </c>
      <c r="CL1504" t="s">
        <v>87</v>
      </c>
    </row>
    <row r="1505" spans="1:90" x14ac:dyDescent="0.3">
      <c r="A1505" t="s">
        <v>72</v>
      </c>
      <c r="B1505" t="s">
        <v>73</v>
      </c>
      <c r="C1505" t="s">
        <v>74</v>
      </c>
      <c r="E1505" t="str">
        <f>"080069841891"</f>
        <v>080069841891</v>
      </c>
      <c r="F1505" s="3">
        <v>46002</v>
      </c>
      <c r="G1505">
        <v>202609</v>
      </c>
      <c r="H1505" t="s">
        <v>75</v>
      </c>
      <c r="I1505" t="s">
        <v>76</v>
      </c>
      <c r="J1505" t="s">
        <v>77</v>
      </c>
      <c r="K1505" t="s">
        <v>78</v>
      </c>
      <c r="L1505" t="s">
        <v>100</v>
      </c>
      <c r="M1505" t="s">
        <v>101</v>
      </c>
      <c r="N1505" t="s">
        <v>102</v>
      </c>
      <c r="O1505" t="s">
        <v>89</v>
      </c>
      <c r="P1505" t="str">
        <f>"4170073092                    "</f>
        <v xml:space="preserve">4170073092                    </v>
      </c>
      <c r="Q1505">
        <v>0</v>
      </c>
      <c r="R1505">
        <v>0</v>
      </c>
      <c r="S1505">
        <v>0</v>
      </c>
      <c r="T1505">
        <v>0</v>
      </c>
      <c r="U1505">
        <v>0</v>
      </c>
      <c r="V1505">
        <v>0</v>
      </c>
      <c r="W1505">
        <v>0</v>
      </c>
      <c r="X1505">
        <v>0</v>
      </c>
      <c r="Y1505">
        <v>0</v>
      </c>
      <c r="Z1505">
        <v>0</v>
      </c>
      <c r="AA1505">
        <v>0</v>
      </c>
      <c r="AB1505">
        <v>0</v>
      </c>
      <c r="AC1505">
        <v>0</v>
      </c>
      <c r="AD1505">
        <v>0</v>
      </c>
      <c r="AE1505">
        <v>0</v>
      </c>
      <c r="AF1505">
        <v>0</v>
      </c>
      <c r="AG1505">
        <v>0</v>
      </c>
      <c r="AH1505">
        <v>0</v>
      </c>
      <c r="AI1505">
        <v>0</v>
      </c>
      <c r="AJ1505">
        <v>0</v>
      </c>
      <c r="AK1505">
        <v>0</v>
      </c>
      <c r="AL1505">
        <v>0</v>
      </c>
      <c r="AM1505">
        <v>0</v>
      </c>
      <c r="AN1505">
        <v>0</v>
      </c>
      <c r="AO1505">
        <v>0</v>
      </c>
      <c r="AP1505">
        <v>0</v>
      </c>
      <c r="AQ1505">
        <v>76.55</v>
      </c>
      <c r="AR1505">
        <v>0</v>
      </c>
      <c r="AS1505">
        <v>0</v>
      </c>
      <c r="AT1505">
        <v>0</v>
      </c>
      <c r="AU1505">
        <v>0</v>
      </c>
      <c r="AV1505">
        <v>0</v>
      </c>
      <c r="AW1505">
        <v>0</v>
      </c>
      <c r="AX1505">
        <v>0</v>
      </c>
      <c r="AY1505">
        <v>0</v>
      </c>
      <c r="AZ1505">
        <v>0</v>
      </c>
      <c r="BA1505">
        <v>0</v>
      </c>
      <c r="BB1505">
        <v>0</v>
      </c>
      <c r="BC1505">
        <v>0</v>
      </c>
      <c r="BD1505">
        <v>0</v>
      </c>
      <c r="BE1505">
        <v>0</v>
      </c>
      <c r="BF1505">
        <v>0</v>
      </c>
      <c r="BG1505">
        <v>0</v>
      </c>
      <c r="BH1505">
        <v>1</v>
      </c>
      <c r="BI1505">
        <v>5</v>
      </c>
      <c r="BJ1505">
        <v>6</v>
      </c>
      <c r="BK1505">
        <v>6</v>
      </c>
      <c r="BL1505">
        <v>228.13</v>
      </c>
      <c r="BM1505">
        <v>34.22</v>
      </c>
      <c r="BN1505">
        <v>262.35000000000002</v>
      </c>
      <c r="BO1505">
        <v>262.35000000000002</v>
      </c>
      <c r="BQ1505" t="s">
        <v>103</v>
      </c>
      <c r="BR1505" t="s">
        <v>82</v>
      </c>
      <c r="BS1505" t="s">
        <v>500</v>
      </c>
      <c r="BY1505">
        <v>30240</v>
      </c>
      <c r="CC1505" t="s">
        <v>101</v>
      </c>
      <c r="CD1505">
        <v>4000</v>
      </c>
      <c r="CE1505" t="s">
        <v>229</v>
      </c>
      <c r="CI1505">
        <v>1</v>
      </c>
      <c r="CJ1505" t="s">
        <v>500</v>
      </c>
      <c r="CK1505">
        <v>21</v>
      </c>
      <c r="CL1505" t="s">
        <v>87</v>
      </c>
    </row>
    <row r="1506" spans="1:90" x14ac:dyDescent="0.3">
      <c r="A1506" t="s">
        <v>72</v>
      </c>
      <c r="B1506" t="s">
        <v>73</v>
      </c>
      <c r="C1506" t="s">
        <v>74</v>
      </c>
      <c r="E1506" t="str">
        <f>"080069841954"</f>
        <v>080069841954</v>
      </c>
      <c r="F1506" s="3">
        <v>46002</v>
      </c>
      <c r="G1506">
        <v>202609</v>
      </c>
      <c r="H1506" t="s">
        <v>75</v>
      </c>
      <c r="I1506" t="s">
        <v>76</v>
      </c>
      <c r="J1506" t="s">
        <v>77</v>
      </c>
      <c r="K1506" t="s">
        <v>78</v>
      </c>
      <c r="L1506" t="s">
        <v>156</v>
      </c>
      <c r="M1506" t="s">
        <v>157</v>
      </c>
      <c r="N1506" t="s">
        <v>887</v>
      </c>
      <c r="O1506" t="s">
        <v>89</v>
      </c>
      <c r="P1506" t="str">
        <f>"4170073095                    "</f>
        <v xml:space="preserve">4170073095                    </v>
      </c>
      <c r="Q1506">
        <v>0</v>
      </c>
      <c r="R1506">
        <v>0</v>
      </c>
      <c r="S1506">
        <v>0</v>
      </c>
      <c r="T1506">
        <v>0</v>
      </c>
      <c r="U1506">
        <v>0</v>
      </c>
      <c r="V1506">
        <v>0</v>
      </c>
      <c r="W1506">
        <v>0</v>
      </c>
      <c r="X1506">
        <v>0</v>
      </c>
      <c r="Y1506">
        <v>0</v>
      </c>
      <c r="Z1506">
        <v>0</v>
      </c>
      <c r="AA1506">
        <v>0</v>
      </c>
      <c r="AB1506">
        <v>0</v>
      </c>
      <c r="AC1506">
        <v>0</v>
      </c>
      <c r="AD1506">
        <v>0</v>
      </c>
      <c r="AE1506">
        <v>0</v>
      </c>
      <c r="AF1506">
        <v>0</v>
      </c>
      <c r="AG1506">
        <v>0</v>
      </c>
      <c r="AH1506">
        <v>0</v>
      </c>
      <c r="AI1506">
        <v>0</v>
      </c>
      <c r="AJ1506">
        <v>0</v>
      </c>
      <c r="AK1506">
        <v>0</v>
      </c>
      <c r="AL1506">
        <v>0</v>
      </c>
      <c r="AM1506">
        <v>0</v>
      </c>
      <c r="AN1506">
        <v>0</v>
      </c>
      <c r="AO1506">
        <v>0</v>
      </c>
      <c r="AP1506">
        <v>0</v>
      </c>
      <c r="AQ1506">
        <v>70.17</v>
      </c>
      <c r="AR1506">
        <v>0</v>
      </c>
      <c r="AS1506">
        <v>0</v>
      </c>
      <c r="AT1506">
        <v>0</v>
      </c>
      <c r="AU1506">
        <v>0</v>
      </c>
      <c r="AV1506">
        <v>0</v>
      </c>
      <c r="AW1506">
        <v>0</v>
      </c>
      <c r="AX1506">
        <v>0</v>
      </c>
      <c r="AY1506">
        <v>0</v>
      </c>
      <c r="AZ1506">
        <v>0</v>
      </c>
      <c r="BA1506">
        <v>0</v>
      </c>
      <c r="BB1506">
        <v>0</v>
      </c>
      <c r="BC1506">
        <v>0</v>
      </c>
      <c r="BD1506">
        <v>0</v>
      </c>
      <c r="BE1506">
        <v>0</v>
      </c>
      <c r="BF1506">
        <v>0</v>
      </c>
      <c r="BG1506">
        <v>0</v>
      </c>
      <c r="BH1506">
        <v>1</v>
      </c>
      <c r="BI1506">
        <v>4</v>
      </c>
      <c r="BJ1506">
        <v>5.4</v>
      </c>
      <c r="BK1506">
        <v>5.5</v>
      </c>
      <c r="BL1506">
        <v>209.12</v>
      </c>
      <c r="BM1506">
        <v>31.37</v>
      </c>
      <c r="BN1506">
        <v>240.49</v>
      </c>
      <c r="BO1506">
        <v>240.49</v>
      </c>
      <c r="BQ1506" t="s">
        <v>888</v>
      </c>
      <c r="BR1506" t="s">
        <v>82</v>
      </c>
      <c r="BS1506" t="s">
        <v>500</v>
      </c>
      <c r="BY1506">
        <v>27225</v>
      </c>
      <c r="CC1506" t="s">
        <v>157</v>
      </c>
      <c r="CD1506">
        <v>7700</v>
      </c>
      <c r="CE1506" t="s">
        <v>229</v>
      </c>
      <c r="CI1506">
        <v>1</v>
      </c>
      <c r="CJ1506" t="s">
        <v>500</v>
      </c>
      <c r="CK1506">
        <v>21</v>
      </c>
      <c r="CL1506" t="s">
        <v>87</v>
      </c>
    </row>
    <row r="1507" spans="1:90" x14ac:dyDescent="0.3">
      <c r="A1507" t="s">
        <v>72</v>
      </c>
      <c r="B1507" t="s">
        <v>73</v>
      </c>
      <c r="C1507" t="s">
        <v>74</v>
      </c>
      <c r="E1507" t="str">
        <f>"080069841986"</f>
        <v>080069841986</v>
      </c>
      <c r="F1507" s="3">
        <v>46002</v>
      </c>
      <c r="G1507">
        <v>202609</v>
      </c>
      <c r="H1507" t="s">
        <v>75</v>
      </c>
      <c r="I1507" t="s">
        <v>76</v>
      </c>
      <c r="J1507" t="s">
        <v>77</v>
      </c>
      <c r="K1507" t="s">
        <v>78</v>
      </c>
      <c r="L1507" t="s">
        <v>128</v>
      </c>
      <c r="M1507" t="s">
        <v>129</v>
      </c>
      <c r="N1507" t="s">
        <v>183</v>
      </c>
      <c r="O1507" t="s">
        <v>89</v>
      </c>
      <c r="P1507" t="str">
        <f>"4170073087                    "</f>
        <v xml:space="preserve">4170073087                    </v>
      </c>
      <c r="Q1507">
        <v>0</v>
      </c>
      <c r="R1507">
        <v>0</v>
      </c>
      <c r="S1507">
        <v>0</v>
      </c>
      <c r="T1507">
        <v>0</v>
      </c>
      <c r="U1507">
        <v>0</v>
      </c>
      <c r="V1507">
        <v>0</v>
      </c>
      <c r="W1507">
        <v>0</v>
      </c>
      <c r="X1507">
        <v>0</v>
      </c>
      <c r="Y1507">
        <v>0</v>
      </c>
      <c r="Z1507">
        <v>0</v>
      </c>
      <c r="AA1507">
        <v>0</v>
      </c>
      <c r="AB1507">
        <v>0</v>
      </c>
      <c r="AC1507">
        <v>0</v>
      </c>
      <c r="AD1507">
        <v>0</v>
      </c>
      <c r="AE1507">
        <v>0</v>
      </c>
      <c r="AF1507">
        <v>0</v>
      </c>
      <c r="AG1507">
        <v>0</v>
      </c>
      <c r="AH1507">
        <v>0</v>
      </c>
      <c r="AI1507">
        <v>0</v>
      </c>
      <c r="AJ1507">
        <v>0</v>
      </c>
      <c r="AK1507">
        <v>0</v>
      </c>
      <c r="AL1507">
        <v>0</v>
      </c>
      <c r="AM1507">
        <v>0</v>
      </c>
      <c r="AN1507">
        <v>0</v>
      </c>
      <c r="AO1507">
        <v>0</v>
      </c>
      <c r="AP1507">
        <v>0</v>
      </c>
      <c r="AQ1507">
        <v>121.19</v>
      </c>
      <c r="AR1507">
        <v>0</v>
      </c>
      <c r="AS1507">
        <v>0</v>
      </c>
      <c r="AT1507">
        <v>0</v>
      </c>
      <c r="AU1507">
        <v>0</v>
      </c>
      <c r="AV1507">
        <v>0</v>
      </c>
      <c r="AW1507">
        <v>0</v>
      </c>
      <c r="AX1507">
        <v>0</v>
      </c>
      <c r="AY1507">
        <v>0</v>
      </c>
      <c r="AZ1507">
        <v>0</v>
      </c>
      <c r="BA1507">
        <v>0</v>
      </c>
      <c r="BB1507">
        <v>0</v>
      </c>
      <c r="BC1507">
        <v>0</v>
      </c>
      <c r="BD1507">
        <v>0</v>
      </c>
      <c r="BE1507">
        <v>0</v>
      </c>
      <c r="BF1507">
        <v>0</v>
      </c>
      <c r="BG1507">
        <v>0</v>
      </c>
      <c r="BH1507">
        <v>1</v>
      </c>
      <c r="BI1507">
        <v>6</v>
      </c>
      <c r="BJ1507">
        <v>9.1</v>
      </c>
      <c r="BK1507">
        <v>9.5</v>
      </c>
      <c r="BL1507">
        <v>361.18</v>
      </c>
      <c r="BM1507">
        <v>54.18</v>
      </c>
      <c r="BN1507">
        <v>415.36</v>
      </c>
      <c r="BO1507">
        <v>415.36</v>
      </c>
      <c r="BQ1507" t="s">
        <v>184</v>
      </c>
      <c r="BR1507" t="s">
        <v>82</v>
      </c>
      <c r="BS1507" t="s">
        <v>500</v>
      </c>
      <c r="BY1507">
        <v>45325</v>
      </c>
      <c r="CC1507" t="s">
        <v>129</v>
      </c>
      <c r="CD1507">
        <v>5200</v>
      </c>
      <c r="CE1507" t="s">
        <v>229</v>
      </c>
      <c r="CI1507">
        <v>1</v>
      </c>
      <c r="CJ1507" t="s">
        <v>500</v>
      </c>
      <c r="CK1507">
        <v>21</v>
      </c>
      <c r="CL1507" t="s">
        <v>87</v>
      </c>
    </row>
    <row r="1508" spans="1:90" x14ac:dyDescent="0.3">
      <c r="A1508" t="s">
        <v>72</v>
      </c>
      <c r="B1508" t="s">
        <v>73</v>
      </c>
      <c r="C1508" t="s">
        <v>74</v>
      </c>
      <c r="E1508" t="str">
        <f>"080069841992"</f>
        <v>080069841992</v>
      </c>
      <c r="F1508" s="3">
        <v>46002</v>
      </c>
      <c r="G1508">
        <v>202609</v>
      </c>
      <c r="H1508" t="s">
        <v>75</v>
      </c>
      <c r="I1508" t="s">
        <v>76</v>
      </c>
      <c r="J1508" t="s">
        <v>77</v>
      </c>
      <c r="K1508" t="s">
        <v>78</v>
      </c>
      <c r="L1508" t="s">
        <v>128</v>
      </c>
      <c r="M1508" t="s">
        <v>129</v>
      </c>
      <c r="N1508" t="s">
        <v>1443</v>
      </c>
      <c r="O1508" t="s">
        <v>89</v>
      </c>
      <c r="P1508" t="str">
        <f>"4170073001                    "</f>
        <v xml:space="preserve">4170073001                    </v>
      </c>
      <c r="Q1508">
        <v>0</v>
      </c>
      <c r="R1508">
        <v>0</v>
      </c>
      <c r="S1508">
        <v>0</v>
      </c>
      <c r="T1508">
        <v>0</v>
      </c>
      <c r="U1508">
        <v>0</v>
      </c>
      <c r="V1508">
        <v>0</v>
      </c>
      <c r="W1508">
        <v>0</v>
      </c>
      <c r="X1508">
        <v>0</v>
      </c>
      <c r="Y1508">
        <v>0</v>
      </c>
      <c r="Z1508">
        <v>0</v>
      </c>
      <c r="AA1508">
        <v>0</v>
      </c>
      <c r="AB1508">
        <v>0</v>
      </c>
      <c r="AC1508">
        <v>0</v>
      </c>
      <c r="AD1508">
        <v>0</v>
      </c>
      <c r="AE1508">
        <v>0</v>
      </c>
      <c r="AF1508">
        <v>0</v>
      </c>
      <c r="AG1508">
        <v>0</v>
      </c>
      <c r="AH1508">
        <v>0</v>
      </c>
      <c r="AI1508">
        <v>0</v>
      </c>
      <c r="AJ1508">
        <v>0</v>
      </c>
      <c r="AK1508">
        <v>0</v>
      </c>
      <c r="AL1508">
        <v>0</v>
      </c>
      <c r="AM1508">
        <v>0</v>
      </c>
      <c r="AN1508">
        <v>0</v>
      </c>
      <c r="AO1508">
        <v>0</v>
      </c>
      <c r="AP1508">
        <v>0</v>
      </c>
      <c r="AQ1508">
        <v>51.04</v>
      </c>
      <c r="AR1508">
        <v>0</v>
      </c>
      <c r="AS1508">
        <v>0</v>
      </c>
      <c r="AT1508">
        <v>0</v>
      </c>
      <c r="AU1508">
        <v>0</v>
      </c>
      <c r="AV1508">
        <v>0</v>
      </c>
      <c r="AW1508">
        <v>0</v>
      </c>
      <c r="AX1508">
        <v>0</v>
      </c>
      <c r="AY1508">
        <v>0</v>
      </c>
      <c r="AZ1508">
        <v>0</v>
      </c>
      <c r="BA1508">
        <v>0</v>
      </c>
      <c r="BB1508">
        <v>0</v>
      </c>
      <c r="BC1508">
        <v>0</v>
      </c>
      <c r="BD1508">
        <v>0</v>
      </c>
      <c r="BE1508">
        <v>0</v>
      </c>
      <c r="BF1508">
        <v>0</v>
      </c>
      <c r="BG1508">
        <v>0</v>
      </c>
      <c r="BH1508">
        <v>1</v>
      </c>
      <c r="BI1508">
        <v>4</v>
      </c>
      <c r="BJ1508">
        <v>1.8</v>
      </c>
      <c r="BK1508">
        <v>4</v>
      </c>
      <c r="BL1508">
        <v>152.1</v>
      </c>
      <c r="BM1508">
        <v>22.82</v>
      </c>
      <c r="BN1508">
        <v>174.92</v>
      </c>
      <c r="BO1508">
        <v>174.92</v>
      </c>
      <c r="BQ1508" t="s">
        <v>1444</v>
      </c>
      <c r="BR1508" t="s">
        <v>82</v>
      </c>
      <c r="BS1508" t="s">
        <v>500</v>
      </c>
      <c r="BY1508">
        <v>8816</v>
      </c>
      <c r="CC1508" t="s">
        <v>129</v>
      </c>
      <c r="CD1508">
        <v>5200</v>
      </c>
      <c r="CE1508" t="s">
        <v>86</v>
      </c>
      <c r="CI1508">
        <v>1</v>
      </c>
      <c r="CJ1508" t="s">
        <v>500</v>
      </c>
      <c r="CK1508">
        <v>21</v>
      </c>
      <c r="CL1508" t="s">
        <v>87</v>
      </c>
    </row>
    <row r="1509" spans="1:90" x14ac:dyDescent="0.3">
      <c r="A1509" t="s">
        <v>72</v>
      </c>
      <c r="B1509" t="s">
        <v>73</v>
      </c>
      <c r="C1509" t="s">
        <v>74</v>
      </c>
      <c r="E1509" t="str">
        <f>"080069842031"</f>
        <v>080069842031</v>
      </c>
      <c r="F1509" s="3">
        <v>46002</v>
      </c>
      <c r="G1509">
        <v>202609</v>
      </c>
      <c r="H1509" t="s">
        <v>75</v>
      </c>
      <c r="I1509" t="s">
        <v>76</v>
      </c>
      <c r="J1509" t="s">
        <v>77</v>
      </c>
      <c r="K1509" t="s">
        <v>78</v>
      </c>
      <c r="L1509" t="s">
        <v>202</v>
      </c>
      <c r="M1509" t="s">
        <v>203</v>
      </c>
      <c r="N1509" t="s">
        <v>204</v>
      </c>
      <c r="O1509" t="s">
        <v>89</v>
      </c>
      <c r="P1509" t="str">
        <f>"4170073032                    "</f>
        <v xml:space="preserve">4170073032                    </v>
      </c>
      <c r="Q1509">
        <v>0</v>
      </c>
      <c r="R1509">
        <v>0</v>
      </c>
      <c r="S1509">
        <v>0</v>
      </c>
      <c r="T1509">
        <v>0</v>
      </c>
      <c r="U1509">
        <v>0</v>
      </c>
      <c r="V1509">
        <v>0</v>
      </c>
      <c r="W1509">
        <v>0</v>
      </c>
      <c r="X1509">
        <v>0</v>
      </c>
      <c r="Y1509">
        <v>0</v>
      </c>
      <c r="Z1509">
        <v>0</v>
      </c>
      <c r="AA1509">
        <v>0</v>
      </c>
      <c r="AB1509">
        <v>0</v>
      </c>
      <c r="AC1509">
        <v>0</v>
      </c>
      <c r="AD1509">
        <v>0</v>
      </c>
      <c r="AE1509">
        <v>0</v>
      </c>
      <c r="AF1509">
        <v>0</v>
      </c>
      <c r="AG1509">
        <v>0</v>
      </c>
      <c r="AH1509">
        <v>0</v>
      </c>
      <c r="AI1509">
        <v>0</v>
      </c>
      <c r="AJ1509">
        <v>0</v>
      </c>
      <c r="AK1509">
        <v>0</v>
      </c>
      <c r="AL1509">
        <v>0</v>
      </c>
      <c r="AM1509">
        <v>0</v>
      </c>
      <c r="AN1509">
        <v>0</v>
      </c>
      <c r="AO1509">
        <v>0</v>
      </c>
      <c r="AP1509">
        <v>0</v>
      </c>
      <c r="AQ1509">
        <v>71.790000000000006</v>
      </c>
      <c r="AR1509">
        <v>0</v>
      </c>
      <c r="AS1509">
        <v>0</v>
      </c>
      <c r="AT1509">
        <v>0</v>
      </c>
      <c r="AU1509">
        <v>0</v>
      </c>
      <c r="AV1509">
        <v>0</v>
      </c>
      <c r="AW1509">
        <v>0</v>
      </c>
      <c r="AX1509">
        <v>0</v>
      </c>
      <c r="AY1509">
        <v>0</v>
      </c>
      <c r="AZ1509">
        <v>0</v>
      </c>
      <c r="BA1509">
        <v>0</v>
      </c>
      <c r="BB1509">
        <v>0</v>
      </c>
      <c r="BC1509">
        <v>0</v>
      </c>
      <c r="BD1509">
        <v>0</v>
      </c>
      <c r="BE1509">
        <v>0</v>
      </c>
      <c r="BF1509">
        <v>0</v>
      </c>
      <c r="BG1509">
        <v>0</v>
      </c>
      <c r="BH1509">
        <v>1</v>
      </c>
      <c r="BI1509">
        <v>3</v>
      </c>
      <c r="BJ1509">
        <v>0.7</v>
      </c>
      <c r="BK1509">
        <v>3</v>
      </c>
      <c r="BL1509">
        <v>213.94</v>
      </c>
      <c r="BM1509">
        <v>32.090000000000003</v>
      </c>
      <c r="BN1509">
        <v>246.03</v>
      </c>
      <c r="BO1509">
        <v>246.03</v>
      </c>
      <c r="BQ1509" t="s">
        <v>205</v>
      </c>
      <c r="BR1509" t="s">
        <v>82</v>
      </c>
      <c r="BS1509" t="s">
        <v>500</v>
      </c>
      <c r="BY1509">
        <v>3400</v>
      </c>
      <c r="CC1509" t="s">
        <v>203</v>
      </c>
      <c r="CD1509">
        <v>2531</v>
      </c>
      <c r="CE1509" t="s">
        <v>93</v>
      </c>
      <c r="CI1509">
        <v>1</v>
      </c>
      <c r="CJ1509" t="s">
        <v>500</v>
      </c>
      <c r="CK1509">
        <v>23</v>
      </c>
      <c r="CL1509" t="s">
        <v>87</v>
      </c>
    </row>
    <row r="1510" spans="1:90" x14ac:dyDescent="0.3">
      <c r="A1510" t="s">
        <v>72</v>
      </c>
      <c r="B1510" t="s">
        <v>73</v>
      </c>
      <c r="C1510" t="s">
        <v>74</v>
      </c>
      <c r="E1510" t="str">
        <f>"080069842037"</f>
        <v>080069842037</v>
      </c>
      <c r="F1510" s="3">
        <v>46002</v>
      </c>
      <c r="G1510">
        <v>202609</v>
      </c>
      <c r="H1510" t="s">
        <v>75</v>
      </c>
      <c r="I1510" t="s">
        <v>76</v>
      </c>
      <c r="J1510" t="s">
        <v>77</v>
      </c>
      <c r="K1510" t="s">
        <v>78</v>
      </c>
      <c r="L1510" t="s">
        <v>100</v>
      </c>
      <c r="M1510" t="s">
        <v>101</v>
      </c>
      <c r="N1510" t="s">
        <v>102</v>
      </c>
      <c r="O1510" t="s">
        <v>89</v>
      </c>
      <c r="P1510" t="str">
        <f>"4170073115                    "</f>
        <v xml:space="preserve">4170073115                    </v>
      </c>
      <c r="Q1510">
        <v>0</v>
      </c>
      <c r="R1510">
        <v>0</v>
      </c>
      <c r="S1510">
        <v>0</v>
      </c>
      <c r="T1510">
        <v>0</v>
      </c>
      <c r="U1510">
        <v>0</v>
      </c>
      <c r="V1510">
        <v>0</v>
      </c>
      <c r="W1510">
        <v>0</v>
      </c>
      <c r="X1510">
        <v>0</v>
      </c>
      <c r="Y1510">
        <v>0</v>
      </c>
      <c r="Z1510">
        <v>0</v>
      </c>
      <c r="AA1510">
        <v>0</v>
      </c>
      <c r="AB1510">
        <v>0</v>
      </c>
      <c r="AC1510">
        <v>0</v>
      </c>
      <c r="AD1510">
        <v>0</v>
      </c>
      <c r="AE1510">
        <v>0</v>
      </c>
      <c r="AF1510">
        <v>0</v>
      </c>
      <c r="AG1510">
        <v>0</v>
      </c>
      <c r="AH1510">
        <v>0</v>
      </c>
      <c r="AI1510">
        <v>0</v>
      </c>
      <c r="AJ1510">
        <v>0</v>
      </c>
      <c r="AK1510">
        <v>0</v>
      </c>
      <c r="AL1510">
        <v>0</v>
      </c>
      <c r="AM1510">
        <v>0</v>
      </c>
      <c r="AN1510">
        <v>0</v>
      </c>
      <c r="AO1510">
        <v>0</v>
      </c>
      <c r="AP1510">
        <v>0</v>
      </c>
      <c r="AQ1510">
        <v>70.17</v>
      </c>
      <c r="AR1510">
        <v>0</v>
      </c>
      <c r="AS1510">
        <v>0</v>
      </c>
      <c r="AT1510">
        <v>0</v>
      </c>
      <c r="AU1510">
        <v>0</v>
      </c>
      <c r="AV1510">
        <v>0</v>
      </c>
      <c r="AW1510">
        <v>0</v>
      </c>
      <c r="AX1510">
        <v>0</v>
      </c>
      <c r="AY1510">
        <v>0</v>
      </c>
      <c r="AZ1510">
        <v>0</v>
      </c>
      <c r="BA1510">
        <v>0</v>
      </c>
      <c r="BB1510">
        <v>0</v>
      </c>
      <c r="BC1510">
        <v>0</v>
      </c>
      <c r="BD1510">
        <v>0</v>
      </c>
      <c r="BE1510">
        <v>0</v>
      </c>
      <c r="BF1510">
        <v>0</v>
      </c>
      <c r="BG1510">
        <v>0</v>
      </c>
      <c r="BH1510">
        <v>1</v>
      </c>
      <c r="BI1510">
        <v>3</v>
      </c>
      <c r="BJ1510">
        <v>5.4</v>
      </c>
      <c r="BK1510">
        <v>5.5</v>
      </c>
      <c r="BL1510">
        <v>209.12</v>
      </c>
      <c r="BM1510">
        <v>31.37</v>
      </c>
      <c r="BN1510">
        <v>240.49</v>
      </c>
      <c r="BO1510">
        <v>240.49</v>
      </c>
      <c r="BQ1510" t="s">
        <v>103</v>
      </c>
      <c r="BR1510" t="s">
        <v>82</v>
      </c>
      <c r="BS1510" t="s">
        <v>500</v>
      </c>
      <c r="BY1510">
        <v>27200</v>
      </c>
      <c r="CC1510" t="s">
        <v>101</v>
      </c>
      <c r="CD1510">
        <v>4051</v>
      </c>
      <c r="CE1510" t="s">
        <v>93</v>
      </c>
      <c r="CI1510">
        <v>1</v>
      </c>
      <c r="CJ1510" t="s">
        <v>500</v>
      </c>
      <c r="CK1510">
        <v>21</v>
      </c>
      <c r="CL1510" t="s">
        <v>87</v>
      </c>
    </row>
    <row r="1511" spans="1:90" x14ac:dyDescent="0.3">
      <c r="A1511" t="s">
        <v>72</v>
      </c>
      <c r="B1511" t="s">
        <v>73</v>
      </c>
      <c r="C1511" t="s">
        <v>74</v>
      </c>
      <c r="E1511" t="str">
        <f>"080069842086"</f>
        <v>080069842086</v>
      </c>
      <c r="F1511" s="3">
        <v>46002</v>
      </c>
      <c r="G1511">
        <v>202609</v>
      </c>
      <c r="H1511" t="s">
        <v>75</v>
      </c>
      <c r="I1511" t="s">
        <v>76</v>
      </c>
      <c r="J1511" t="s">
        <v>77</v>
      </c>
      <c r="K1511" t="s">
        <v>78</v>
      </c>
      <c r="L1511" t="s">
        <v>302</v>
      </c>
      <c r="M1511" t="s">
        <v>303</v>
      </c>
      <c r="N1511" t="s">
        <v>425</v>
      </c>
      <c r="O1511" t="s">
        <v>89</v>
      </c>
      <c r="P1511" t="str">
        <f>"4170072952                    "</f>
        <v xml:space="preserve">4170072952                    </v>
      </c>
      <c r="Q1511">
        <v>0</v>
      </c>
      <c r="R1511">
        <v>0</v>
      </c>
      <c r="S1511">
        <v>0</v>
      </c>
      <c r="T1511">
        <v>0</v>
      </c>
      <c r="U1511">
        <v>0</v>
      </c>
      <c r="V1511">
        <v>0</v>
      </c>
      <c r="W1511">
        <v>0</v>
      </c>
      <c r="X1511">
        <v>0</v>
      </c>
      <c r="Y1511">
        <v>0</v>
      </c>
      <c r="Z1511">
        <v>0</v>
      </c>
      <c r="AA1511">
        <v>0</v>
      </c>
      <c r="AB1511">
        <v>0</v>
      </c>
      <c r="AC1511">
        <v>0</v>
      </c>
      <c r="AD1511">
        <v>0</v>
      </c>
      <c r="AE1511">
        <v>0</v>
      </c>
      <c r="AF1511">
        <v>0</v>
      </c>
      <c r="AG1511">
        <v>0</v>
      </c>
      <c r="AH1511">
        <v>0</v>
      </c>
      <c r="AI1511">
        <v>0</v>
      </c>
      <c r="AJ1511">
        <v>0</v>
      </c>
      <c r="AK1511">
        <v>0</v>
      </c>
      <c r="AL1511">
        <v>0</v>
      </c>
      <c r="AM1511">
        <v>0</v>
      </c>
      <c r="AN1511">
        <v>0</v>
      </c>
      <c r="AO1511">
        <v>0</v>
      </c>
      <c r="AP1511">
        <v>0</v>
      </c>
      <c r="AQ1511">
        <v>25.52</v>
      </c>
      <c r="AR1511">
        <v>0</v>
      </c>
      <c r="AS1511">
        <v>0</v>
      </c>
      <c r="AT1511">
        <v>0</v>
      </c>
      <c r="AU1511">
        <v>0</v>
      </c>
      <c r="AV1511">
        <v>0</v>
      </c>
      <c r="AW1511">
        <v>0</v>
      </c>
      <c r="AX1511">
        <v>0</v>
      </c>
      <c r="AY1511">
        <v>0</v>
      </c>
      <c r="AZ1511">
        <v>0</v>
      </c>
      <c r="BA1511">
        <v>0</v>
      </c>
      <c r="BB1511">
        <v>0</v>
      </c>
      <c r="BC1511">
        <v>0</v>
      </c>
      <c r="BD1511">
        <v>0</v>
      </c>
      <c r="BE1511">
        <v>0</v>
      </c>
      <c r="BF1511">
        <v>0</v>
      </c>
      <c r="BG1511">
        <v>0</v>
      </c>
      <c r="BH1511">
        <v>1</v>
      </c>
      <c r="BI1511">
        <v>1</v>
      </c>
      <c r="BJ1511">
        <v>2</v>
      </c>
      <c r="BK1511">
        <v>2</v>
      </c>
      <c r="BL1511">
        <v>76.06</v>
      </c>
      <c r="BM1511">
        <v>11.41</v>
      </c>
      <c r="BN1511">
        <v>87.47</v>
      </c>
      <c r="BO1511">
        <v>87.47</v>
      </c>
      <c r="BQ1511" t="s">
        <v>426</v>
      </c>
      <c r="BR1511" t="s">
        <v>82</v>
      </c>
      <c r="BS1511" t="s">
        <v>500</v>
      </c>
      <c r="BY1511">
        <v>9900</v>
      </c>
      <c r="CC1511" t="s">
        <v>303</v>
      </c>
      <c r="CD1511" s="5" t="s">
        <v>350</v>
      </c>
      <c r="CE1511" t="s">
        <v>86</v>
      </c>
      <c r="CI1511">
        <v>1</v>
      </c>
      <c r="CJ1511" t="s">
        <v>500</v>
      </c>
      <c r="CK1511">
        <v>21</v>
      </c>
      <c r="CL1511" t="s">
        <v>87</v>
      </c>
    </row>
    <row r="1512" spans="1:90" x14ac:dyDescent="0.3">
      <c r="A1512" t="s">
        <v>72</v>
      </c>
      <c r="B1512" t="s">
        <v>73</v>
      </c>
      <c r="C1512" t="s">
        <v>74</v>
      </c>
      <c r="E1512" t="str">
        <f>"080069842100"</f>
        <v>080069842100</v>
      </c>
      <c r="F1512" s="3">
        <v>46002</v>
      </c>
      <c r="G1512">
        <v>202609</v>
      </c>
      <c r="H1512" t="s">
        <v>75</v>
      </c>
      <c r="I1512" t="s">
        <v>76</v>
      </c>
      <c r="J1512" t="s">
        <v>77</v>
      </c>
      <c r="K1512" t="s">
        <v>78</v>
      </c>
      <c r="L1512" t="s">
        <v>141</v>
      </c>
      <c r="M1512" t="s">
        <v>142</v>
      </c>
      <c r="N1512" t="s">
        <v>324</v>
      </c>
      <c r="O1512" t="s">
        <v>89</v>
      </c>
      <c r="P1512" t="str">
        <f>"4170072978                    "</f>
        <v xml:space="preserve">4170072978                    </v>
      </c>
      <c r="Q1512">
        <v>0</v>
      </c>
      <c r="R1512">
        <v>0</v>
      </c>
      <c r="S1512">
        <v>0</v>
      </c>
      <c r="T1512">
        <v>0</v>
      </c>
      <c r="U1512">
        <v>0</v>
      </c>
      <c r="V1512">
        <v>0</v>
      </c>
      <c r="W1512">
        <v>0</v>
      </c>
      <c r="X1512">
        <v>0</v>
      </c>
      <c r="Y1512">
        <v>0</v>
      </c>
      <c r="Z1512">
        <v>0</v>
      </c>
      <c r="AA1512">
        <v>0</v>
      </c>
      <c r="AB1512">
        <v>0</v>
      </c>
      <c r="AC1512">
        <v>0</v>
      </c>
      <c r="AD1512">
        <v>0</v>
      </c>
      <c r="AE1512">
        <v>0</v>
      </c>
      <c r="AF1512">
        <v>0</v>
      </c>
      <c r="AG1512">
        <v>0</v>
      </c>
      <c r="AH1512">
        <v>0</v>
      </c>
      <c r="AI1512">
        <v>0</v>
      </c>
      <c r="AJ1512">
        <v>0</v>
      </c>
      <c r="AK1512">
        <v>0</v>
      </c>
      <c r="AL1512">
        <v>0</v>
      </c>
      <c r="AM1512">
        <v>0</v>
      </c>
      <c r="AN1512">
        <v>0</v>
      </c>
      <c r="AO1512">
        <v>0</v>
      </c>
      <c r="AP1512">
        <v>0</v>
      </c>
      <c r="AQ1512">
        <v>25.52</v>
      </c>
      <c r="AR1512">
        <v>0</v>
      </c>
      <c r="AS1512">
        <v>0</v>
      </c>
      <c r="AT1512">
        <v>0</v>
      </c>
      <c r="AU1512">
        <v>0</v>
      </c>
      <c r="AV1512">
        <v>0</v>
      </c>
      <c r="AW1512">
        <v>0</v>
      </c>
      <c r="AX1512">
        <v>0</v>
      </c>
      <c r="AY1512">
        <v>0</v>
      </c>
      <c r="AZ1512">
        <v>0</v>
      </c>
      <c r="BA1512">
        <v>0</v>
      </c>
      <c r="BB1512">
        <v>0</v>
      </c>
      <c r="BC1512">
        <v>0</v>
      </c>
      <c r="BD1512">
        <v>0</v>
      </c>
      <c r="BE1512">
        <v>0</v>
      </c>
      <c r="BF1512">
        <v>0</v>
      </c>
      <c r="BG1512">
        <v>0</v>
      </c>
      <c r="BH1512">
        <v>1</v>
      </c>
      <c r="BI1512">
        <v>2</v>
      </c>
      <c r="BJ1512">
        <v>1.1000000000000001</v>
      </c>
      <c r="BK1512">
        <v>2</v>
      </c>
      <c r="BL1512">
        <v>76.06</v>
      </c>
      <c r="BM1512">
        <v>11.41</v>
      </c>
      <c r="BN1512">
        <v>87.47</v>
      </c>
      <c r="BO1512">
        <v>87.47</v>
      </c>
      <c r="BQ1512" t="s">
        <v>325</v>
      </c>
      <c r="BR1512" t="s">
        <v>82</v>
      </c>
      <c r="BS1512" t="s">
        <v>500</v>
      </c>
      <c r="BY1512">
        <v>5510</v>
      </c>
      <c r="CC1512" t="s">
        <v>142</v>
      </c>
      <c r="CD1512">
        <v>6001</v>
      </c>
      <c r="CE1512" t="s">
        <v>86</v>
      </c>
      <c r="CI1512">
        <v>1</v>
      </c>
      <c r="CJ1512" t="s">
        <v>500</v>
      </c>
      <c r="CK1512">
        <v>21</v>
      </c>
      <c r="CL1512" t="s">
        <v>87</v>
      </c>
    </row>
    <row r="1513" spans="1:90" x14ac:dyDescent="0.3">
      <c r="A1513" t="s">
        <v>72</v>
      </c>
      <c r="B1513" t="s">
        <v>73</v>
      </c>
      <c r="C1513" t="s">
        <v>74</v>
      </c>
      <c r="E1513" t="str">
        <f>"080069842139"</f>
        <v>080069842139</v>
      </c>
      <c r="F1513" s="3">
        <v>46002</v>
      </c>
      <c r="G1513">
        <v>202609</v>
      </c>
      <c r="H1513" t="s">
        <v>75</v>
      </c>
      <c r="I1513" t="s">
        <v>76</v>
      </c>
      <c r="J1513" t="s">
        <v>77</v>
      </c>
      <c r="K1513" t="s">
        <v>78</v>
      </c>
      <c r="L1513" t="s">
        <v>2160</v>
      </c>
      <c r="M1513" t="s">
        <v>2161</v>
      </c>
      <c r="N1513" t="s">
        <v>2162</v>
      </c>
      <c r="O1513" t="s">
        <v>89</v>
      </c>
      <c r="P1513" t="str">
        <f>"4170072951                    "</f>
        <v xml:space="preserve">4170072951                    </v>
      </c>
      <c r="Q1513">
        <v>0</v>
      </c>
      <c r="R1513">
        <v>0</v>
      </c>
      <c r="S1513">
        <v>0</v>
      </c>
      <c r="T1513">
        <v>0</v>
      </c>
      <c r="U1513">
        <v>0</v>
      </c>
      <c r="V1513">
        <v>0</v>
      </c>
      <c r="W1513">
        <v>0</v>
      </c>
      <c r="X1513">
        <v>0</v>
      </c>
      <c r="Y1513">
        <v>0</v>
      </c>
      <c r="Z1513">
        <v>0</v>
      </c>
      <c r="AA1513">
        <v>0</v>
      </c>
      <c r="AB1513">
        <v>0</v>
      </c>
      <c r="AC1513">
        <v>0</v>
      </c>
      <c r="AD1513">
        <v>0</v>
      </c>
      <c r="AE1513">
        <v>0</v>
      </c>
      <c r="AF1513">
        <v>0</v>
      </c>
      <c r="AG1513">
        <v>0</v>
      </c>
      <c r="AH1513">
        <v>0</v>
      </c>
      <c r="AI1513">
        <v>0</v>
      </c>
      <c r="AJ1513">
        <v>0</v>
      </c>
      <c r="AK1513">
        <v>0</v>
      </c>
      <c r="AL1513">
        <v>0</v>
      </c>
      <c r="AM1513">
        <v>0</v>
      </c>
      <c r="AN1513">
        <v>0</v>
      </c>
      <c r="AO1513">
        <v>0</v>
      </c>
      <c r="AP1513">
        <v>0</v>
      </c>
      <c r="AQ1513">
        <v>25.52</v>
      </c>
      <c r="AR1513">
        <v>0</v>
      </c>
      <c r="AS1513">
        <v>0</v>
      </c>
      <c r="AT1513">
        <v>0</v>
      </c>
      <c r="AU1513">
        <v>0</v>
      </c>
      <c r="AV1513">
        <v>0</v>
      </c>
      <c r="AW1513">
        <v>0</v>
      </c>
      <c r="AX1513">
        <v>0</v>
      </c>
      <c r="AY1513">
        <v>0</v>
      </c>
      <c r="AZ1513">
        <v>0</v>
      </c>
      <c r="BA1513">
        <v>0</v>
      </c>
      <c r="BB1513">
        <v>0</v>
      </c>
      <c r="BC1513">
        <v>0</v>
      </c>
      <c r="BD1513">
        <v>0</v>
      </c>
      <c r="BE1513">
        <v>0</v>
      </c>
      <c r="BF1513">
        <v>0</v>
      </c>
      <c r="BG1513">
        <v>0</v>
      </c>
      <c r="BH1513">
        <v>1</v>
      </c>
      <c r="BI1513">
        <v>2</v>
      </c>
      <c r="BJ1513">
        <v>1.6</v>
      </c>
      <c r="BK1513">
        <v>2</v>
      </c>
      <c r="BL1513">
        <v>76.06</v>
      </c>
      <c r="BM1513">
        <v>11.41</v>
      </c>
      <c r="BN1513">
        <v>87.47</v>
      </c>
      <c r="BO1513">
        <v>87.47</v>
      </c>
      <c r="BQ1513" t="s">
        <v>2163</v>
      </c>
      <c r="BR1513" t="s">
        <v>82</v>
      </c>
      <c r="BS1513" t="s">
        <v>500</v>
      </c>
      <c r="BY1513">
        <v>7840</v>
      </c>
      <c r="CC1513" t="s">
        <v>2161</v>
      </c>
      <c r="CD1513">
        <v>4120</v>
      </c>
      <c r="CE1513" t="s">
        <v>93</v>
      </c>
      <c r="CI1513">
        <v>1</v>
      </c>
      <c r="CJ1513" t="s">
        <v>500</v>
      </c>
      <c r="CK1513">
        <v>21</v>
      </c>
      <c r="CL1513" t="s">
        <v>87</v>
      </c>
    </row>
    <row r="1514" spans="1:90" x14ac:dyDescent="0.3">
      <c r="A1514" t="s">
        <v>72</v>
      </c>
      <c r="B1514" t="s">
        <v>73</v>
      </c>
      <c r="C1514" t="s">
        <v>74</v>
      </c>
      <c r="E1514" t="str">
        <f>"080069842148"</f>
        <v>080069842148</v>
      </c>
      <c r="F1514" s="3">
        <v>46002</v>
      </c>
      <c r="G1514">
        <v>202609</v>
      </c>
      <c r="H1514" t="s">
        <v>75</v>
      </c>
      <c r="I1514" t="s">
        <v>76</v>
      </c>
      <c r="J1514" t="s">
        <v>77</v>
      </c>
      <c r="K1514" t="s">
        <v>78</v>
      </c>
      <c r="L1514" t="s">
        <v>141</v>
      </c>
      <c r="M1514" t="s">
        <v>142</v>
      </c>
      <c r="N1514" t="s">
        <v>728</v>
      </c>
      <c r="O1514" t="s">
        <v>89</v>
      </c>
      <c r="P1514" t="str">
        <f>"4170073020                    "</f>
        <v xml:space="preserve">4170073020                    </v>
      </c>
      <c r="Q1514">
        <v>0</v>
      </c>
      <c r="R1514">
        <v>0</v>
      </c>
      <c r="S1514">
        <v>0</v>
      </c>
      <c r="T1514">
        <v>0</v>
      </c>
      <c r="U1514">
        <v>0</v>
      </c>
      <c r="V1514">
        <v>0</v>
      </c>
      <c r="W1514">
        <v>0</v>
      </c>
      <c r="X1514">
        <v>0</v>
      </c>
      <c r="Y1514">
        <v>0</v>
      </c>
      <c r="Z1514">
        <v>0</v>
      </c>
      <c r="AA1514">
        <v>0</v>
      </c>
      <c r="AB1514">
        <v>0</v>
      </c>
      <c r="AC1514">
        <v>0</v>
      </c>
      <c r="AD1514">
        <v>0</v>
      </c>
      <c r="AE1514">
        <v>0</v>
      </c>
      <c r="AF1514">
        <v>0</v>
      </c>
      <c r="AG1514">
        <v>0</v>
      </c>
      <c r="AH1514">
        <v>0</v>
      </c>
      <c r="AI1514">
        <v>0</v>
      </c>
      <c r="AJ1514">
        <v>0</v>
      </c>
      <c r="AK1514">
        <v>0</v>
      </c>
      <c r="AL1514">
        <v>0</v>
      </c>
      <c r="AM1514">
        <v>0</v>
      </c>
      <c r="AN1514">
        <v>0</v>
      </c>
      <c r="AO1514">
        <v>0</v>
      </c>
      <c r="AP1514">
        <v>0</v>
      </c>
      <c r="AQ1514">
        <v>25.52</v>
      </c>
      <c r="AR1514">
        <v>0</v>
      </c>
      <c r="AS1514">
        <v>0</v>
      </c>
      <c r="AT1514">
        <v>0</v>
      </c>
      <c r="AU1514">
        <v>0</v>
      </c>
      <c r="AV1514">
        <v>0</v>
      </c>
      <c r="AW1514">
        <v>0</v>
      </c>
      <c r="AX1514">
        <v>0</v>
      </c>
      <c r="AY1514">
        <v>0</v>
      </c>
      <c r="AZ1514">
        <v>0</v>
      </c>
      <c r="BA1514">
        <v>0</v>
      </c>
      <c r="BB1514">
        <v>0</v>
      </c>
      <c r="BC1514">
        <v>0</v>
      </c>
      <c r="BD1514">
        <v>0</v>
      </c>
      <c r="BE1514">
        <v>0</v>
      </c>
      <c r="BF1514">
        <v>0</v>
      </c>
      <c r="BG1514">
        <v>0</v>
      </c>
      <c r="BH1514">
        <v>1</v>
      </c>
      <c r="BI1514">
        <v>1</v>
      </c>
      <c r="BJ1514">
        <v>0.2</v>
      </c>
      <c r="BK1514">
        <v>1</v>
      </c>
      <c r="BL1514">
        <v>76.06</v>
      </c>
      <c r="BM1514">
        <v>11.41</v>
      </c>
      <c r="BN1514">
        <v>87.47</v>
      </c>
      <c r="BO1514">
        <v>87.47</v>
      </c>
      <c r="BQ1514" t="s">
        <v>729</v>
      </c>
      <c r="BR1514" t="s">
        <v>82</v>
      </c>
      <c r="BS1514" t="s">
        <v>500</v>
      </c>
      <c r="BY1514">
        <v>1200</v>
      </c>
      <c r="CC1514" t="s">
        <v>142</v>
      </c>
      <c r="CD1514">
        <v>6012</v>
      </c>
      <c r="CE1514" t="s">
        <v>134</v>
      </c>
      <c r="CI1514">
        <v>1</v>
      </c>
      <c r="CJ1514" t="s">
        <v>500</v>
      </c>
      <c r="CK1514">
        <v>21</v>
      </c>
      <c r="CL1514" t="s">
        <v>87</v>
      </c>
    </row>
    <row r="1515" spans="1:90" x14ac:dyDescent="0.3">
      <c r="A1515" t="s">
        <v>72</v>
      </c>
      <c r="B1515" t="s">
        <v>73</v>
      </c>
      <c r="C1515" t="s">
        <v>74</v>
      </c>
      <c r="E1515" t="str">
        <f>"080069842183"</f>
        <v>080069842183</v>
      </c>
      <c r="F1515" s="3">
        <v>46002</v>
      </c>
      <c r="G1515">
        <v>202609</v>
      </c>
      <c r="H1515" t="s">
        <v>75</v>
      </c>
      <c r="I1515" t="s">
        <v>76</v>
      </c>
      <c r="J1515" t="s">
        <v>77</v>
      </c>
      <c r="K1515" t="s">
        <v>78</v>
      </c>
      <c r="L1515" t="s">
        <v>128</v>
      </c>
      <c r="M1515" t="s">
        <v>129</v>
      </c>
      <c r="N1515" t="s">
        <v>2156</v>
      </c>
      <c r="O1515" t="s">
        <v>89</v>
      </c>
      <c r="P1515" t="str">
        <f>"4170072984                    "</f>
        <v xml:space="preserve">4170072984                    </v>
      </c>
      <c r="Q1515">
        <v>0</v>
      </c>
      <c r="R1515">
        <v>0</v>
      </c>
      <c r="S1515">
        <v>0</v>
      </c>
      <c r="T1515">
        <v>0</v>
      </c>
      <c r="U1515">
        <v>0</v>
      </c>
      <c r="V1515">
        <v>0</v>
      </c>
      <c r="W1515">
        <v>0</v>
      </c>
      <c r="X1515">
        <v>0</v>
      </c>
      <c r="Y1515">
        <v>0</v>
      </c>
      <c r="Z1515">
        <v>0</v>
      </c>
      <c r="AA1515">
        <v>0</v>
      </c>
      <c r="AB1515">
        <v>0</v>
      </c>
      <c r="AC1515">
        <v>0</v>
      </c>
      <c r="AD1515">
        <v>0</v>
      </c>
      <c r="AE1515">
        <v>0</v>
      </c>
      <c r="AF1515">
        <v>0</v>
      </c>
      <c r="AG1515">
        <v>0</v>
      </c>
      <c r="AH1515">
        <v>0</v>
      </c>
      <c r="AI1515">
        <v>0</v>
      </c>
      <c r="AJ1515">
        <v>0</v>
      </c>
      <c r="AK1515">
        <v>0</v>
      </c>
      <c r="AL1515">
        <v>0</v>
      </c>
      <c r="AM1515">
        <v>0</v>
      </c>
      <c r="AN1515">
        <v>0</v>
      </c>
      <c r="AO1515">
        <v>0</v>
      </c>
      <c r="AP1515">
        <v>0</v>
      </c>
      <c r="AQ1515">
        <v>25.52</v>
      </c>
      <c r="AR1515">
        <v>0</v>
      </c>
      <c r="AS1515">
        <v>0</v>
      </c>
      <c r="AT1515">
        <v>0</v>
      </c>
      <c r="AU1515">
        <v>0</v>
      </c>
      <c r="AV1515">
        <v>0</v>
      </c>
      <c r="AW1515">
        <v>0</v>
      </c>
      <c r="AX1515">
        <v>0</v>
      </c>
      <c r="AY1515">
        <v>0</v>
      </c>
      <c r="AZ1515">
        <v>0</v>
      </c>
      <c r="BA1515">
        <v>0</v>
      </c>
      <c r="BB1515">
        <v>0</v>
      </c>
      <c r="BC1515">
        <v>0</v>
      </c>
      <c r="BD1515">
        <v>0</v>
      </c>
      <c r="BE1515">
        <v>0</v>
      </c>
      <c r="BF1515">
        <v>0</v>
      </c>
      <c r="BG1515">
        <v>0</v>
      </c>
      <c r="BH1515">
        <v>1</v>
      </c>
      <c r="BI1515">
        <v>1</v>
      </c>
      <c r="BJ1515">
        <v>0.2</v>
      </c>
      <c r="BK1515">
        <v>1</v>
      </c>
      <c r="BL1515">
        <v>76.06</v>
      </c>
      <c r="BM1515">
        <v>11.41</v>
      </c>
      <c r="BN1515">
        <v>87.47</v>
      </c>
      <c r="BO1515">
        <v>87.47</v>
      </c>
      <c r="BQ1515" t="s">
        <v>2157</v>
      </c>
      <c r="BR1515" t="s">
        <v>82</v>
      </c>
      <c r="BS1515" t="s">
        <v>500</v>
      </c>
      <c r="BY1515">
        <v>1200</v>
      </c>
      <c r="CC1515" t="s">
        <v>129</v>
      </c>
      <c r="CD1515">
        <v>5201</v>
      </c>
      <c r="CE1515" t="s">
        <v>134</v>
      </c>
      <c r="CI1515">
        <v>5</v>
      </c>
      <c r="CJ1515" t="s">
        <v>500</v>
      </c>
      <c r="CK1515">
        <v>21</v>
      </c>
      <c r="CL1515" t="s">
        <v>87</v>
      </c>
    </row>
    <row r="1516" spans="1:90" x14ac:dyDescent="0.3">
      <c r="A1516" t="s">
        <v>72</v>
      </c>
      <c r="B1516" t="s">
        <v>73</v>
      </c>
      <c r="C1516" t="s">
        <v>74</v>
      </c>
      <c r="E1516" t="str">
        <f>"080069842577"</f>
        <v>080069842577</v>
      </c>
      <c r="F1516" s="3">
        <v>46002</v>
      </c>
      <c r="G1516">
        <v>202609</v>
      </c>
      <c r="H1516" t="s">
        <v>75</v>
      </c>
      <c r="I1516" t="s">
        <v>76</v>
      </c>
      <c r="J1516" t="s">
        <v>77</v>
      </c>
      <c r="K1516" t="s">
        <v>78</v>
      </c>
      <c r="L1516" t="s">
        <v>141</v>
      </c>
      <c r="M1516" t="s">
        <v>142</v>
      </c>
      <c r="N1516" t="s">
        <v>728</v>
      </c>
      <c r="O1516" t="s">
        <v>89</v>
      </c>
      <c r="P1516" t="str">
        <f>"4170073100                    "</f>
        <v xml:space="preserve">4170073100                    </v>
      </c>
      <c r="Q1516">
        <v>0</v>
      </c>
      <c r="R1516">
        <v>0</v>
      </c>
      <c r="S1516">
        <v>0</v>
      </c>
      <c r="T1516">
        <v>0</v>
      </c>
      <c r="U1516">
        <v>0</v>
      </c>
      <c r="V1516">
        <v>0</v>
      </c>
      <c r="W1516">
        <v>0</v>
      </c>
      <c r="X1516">
        <v>0</v>
      </c>
      <c r="Y1516">
        <v>0</v>
      </c>
      <c r="Z1516">
        <v>0</v>
      </c>
      <c r="AA1516">
        <v>0</v>
      </c>
      <c r="AB1516">
        <v>0</v>
      </c>
      <c r="AC1516">
        <v>0</v>
      </c>
      <c r="AD1516">
        <v>0</v>
      </c>
      <c r="AE1516">
        <v>0</v>
      </c>
      <c r="AF1516">
        <v>0</v>
      </c>
      <c r="AG1516">
        <v>0</v>
      </c>
      <c r="AH1516">
        <v>0</v>
      </c>
      <c r="AI1516">
        <v>0</v>
      </c>
      <c r="AJ1516">
        <v>0</v>
      </c>
      <c r="AK1516">
        <v>0</v>
      </c>
      <c r="AL1516">
        <v>0</v>
      </c>
      <c r="AM1516">
        <v>0</v>
      </c>
      <c r="AN1516">
        <v>0</v>
      </c>
      <c r="AO1516">
        <v>0</v>
      </c>
      <c r="AP1516">
        <v>0</v>
      </c>
      <c r="AQ1516">
        <v>25.52</v>
      </c>
      <c r="AR1516">
        <v>0</v>
      </c>
      <c r="AS1516">
        <v>0</v>
      </c>
      <c r="AT1516">
        <v>0</v>
      </c>
      <c r="AU1516">
        <v>0</v>
      </c>
      <c r="AV1516">
        <v>0</v>
      </c>
      <c r="AW1516">
        <v>0</v>
      </c>
      <c r="AX1516">
        <v>0</v>
      </c>
      <c r="AY1516">
        <v>0</v>
      </c>
      <c r="AZ1516">
        <v>0</v>
      </c>
      <c r="BA1516">
        <v>0</v>
      </c>
      <c r="BB1516">
        <v>0</v>
      </c>
      <c r="BC1516">
        <v>0</v>
      </c>
      <c r="BD1516">
        <v>0</v>
      </c>
      <c r="BE1516">
        <v>0</v>
      </c>
      <c r="BF1516">
        <v>0</v>
      </c>
      <c r="BG1516">
        <v>0</v>
      </c>
      <c r="BH1516">
        <v>1</v>
      </c>
      <c r="BI1516">
        <v>1</v>
      </c>
      <c r="BJ1516">
        <v>0.2</v>
      </c>
      <c r="BK1516">
        <v>1</v>
      </c>
      <c r="BL1516">
        <v>76.06</v>
      </c>
      <c r="BM1516">
        <v>11.41</v>
      </c>
      <c r="BN1516">
        <v>87.47</v>
      </c>
      <c r="BO1516">
        <v>87.47</v>
      </c>
      <c r="BQ1516" t="s">
        <v>729</v>
      </c>
      <c r="BR1516" t="s">
        <v>82</v>
      </c>
      <c r="BS1516" t="s">
        <v>500</v>
      </c>
      <c r="BY1516">
        <v>1200</v>
      </c>
      <c r="CC1516" t="s">
        <v>142</v>
      </c>
      <c r="CD1516">
        <v>6012</v>
      </c>
      <c r="CE1516" t="s">
        <v>134</v>
      </c>
      <c r="CI1516">
        <v>1</v>
      </c>
      <c r="CJ1516" t="s">
        <v>500</v>
      </c>
      <c r="CK1516">
        <v>21</v>
      </c>
      <c r="CL1516" t="s">
        <v>87</v>
      </c>
    </row>
    <row r="1517" spans="1:90" x14ac:dyDescent="0.3">
      <c r="A1517" t="s">
        <v>72</v>
      </c>
      <c r="B1517" t="s">
        <v>73</v>
      </c>
      <c r="C1517" t="s">
        <v>74</v>
      </c>
      <c r="E1517" t="str">
        <f>"080069842629"</f>
        <v>080069842629</v>
      </c>
      <c r="F1517" s="3">
        <v>46002</v>
      </c>
      <c r="G1517">
        <v>202609</v>
      </c>
      <c r="H1517" t="s">
        <v>75</v>
      </c>
      <c r="I1517" t="s">
        <v>76</v>
      </c>
      <c r="J1517" t="s">
        <v>77</v>
      </c>
      <c r="K1517" t="s">
        <v>78</v>
      </c>
      <c r="L1517" t="s">
        <v>100</v>
      </c>
      <c r="M1517" t="s">
        <v>101</v>
      </c>
      <c r="N1517" t="s">
        <v>102</v>
      </c>
      <c r="O1517" t="s">
        <v>89</v>
      </c>
      <c r="P1517" t="str">
        <f>"4170073030                    "</f>
        <v xml:space="preserve">4170073030                    </v>
      </c>
      <c r="Q1517">
        <v>0</v>
      </c>
      <c r="R1517">
        <v>0</v>
      </c>
      <c r="S1517">
        <v>0</v>
      </c>
      <c r="T1517">
        <v>0</v>
      </c>
      <c r="U1517">
        <v>0</v>
      </c>
      <c r="V1517">
        <v>0</v>
      </c>
      <c r="W1517">
        <v>0</v>
      </c>
      <c r="X1517">
        <v>0</v>
      </c>
      <c r="Y1517">
        <v>0</v>
      </c>
      <c r="Z1517">
        <v>0</v>
      </c>
      <c r="AA1517">
        <v>0</v>
      </c>
      <c r="AB1517">
        <v>0</v>
      </c>
      <c r="AC1517">
        <v>0</v>
      </c>
      <c r="AD1517">
        <v>0</v>
      </c>
      <c r="AE1517">
        <v>0</v>
      </c>
      <c r="AF1517">
        <v>0</v>
      </c>
      <c r="AG1517">
        <v>0</v>
      </c>
      <c r="AH1517">
        <v>0</v>
      </c>
      <c r="AI1517">
        <v>0</v>
      </c>
      <c r="AJ1517">
        <v>0</v>
      </c>
      <c r="AK1517">
        <v>0</v>
      </c>
      <c r="AL1517">
        <v>0</v>
      </c>
      <c r="AM1517">
        <v>0</v>
      </c>
      <c r="AN1517">
        <v>0</v>
      </c>
      <c r="AO1517">
        <v>0</v>
      </c>
      <c r="AP1517">
        <v>0</v>
      </c>
      <c r="AQ1517">
        <v>25.52</v>
      </c>
      <c r="AR1517">
        <v>0</v>
      </c>
      <c r="AS1517">
        <v>0</v>
      </c>
      <c r="AT1517">
        <v>0</v>
      </c>
      <c r="AU1517">
        <v>0</v>
      </c>
      <c r="AV1517">
        <v>0</v>
      </c>
      <c r="AW1517">
        <v>0</v>
      </c>
      <c r="AX1517">
        <v>0</v>
      </c>
      <c r="AY1517">
        <v>0</v>
      </c>
      <c r="AZ1517">
        <v>0</v>
      </c>
      <c r="BA1517">
        <v>0</v>
      </c>
      <c r="BB1517">
        <v>0</v>
      </c>
      <c r="BC1517">
        <v>0</v>
      </c>
      <c r="BD1517">
        <v>0</v>
      </c>
      <c r="BE1517">
        <v>0</v>
      </c>
      <c r="BF1517">
        <v>0</v>
      </c>
      <c r="BG1517">
        <v>0</v>
      </c>
      <c r="BH1517">
        <v>1</v>
      </c>
      <c r="BI1517">
        <v>1</v>
      </c>
      <c r="BJ1517">
        <v>0.2</v>
      </c>
      <c r="BK1517">
        <v>1</v>
      </c>
      <c r="BL1517">
        <v>76.06</v>
      </c>
      <c r="BM1517">
        <v>11.41</v>
      </c>
      <c r="BN1517">
        <v>87.47</v>
      </c>
      <c r="BO1517">
        <v>87.47</v>
      </c>
      <c r="BQ1517" t="s">
        <v>103</v>
      </c>
      <c r="BR1517" t="s">
        <v>82</v>
      </c>
      <c r="BS1517" t="s">
        <v>500</v>
      </c>
      <c r="BY1517">
        <v>1200</v>
      </c>
      <c r="CC1517" t="s">
        <v>101</v>
      </c>
      <c r="CD1517">
        <v>4000</v>
      </c>
      <c r="CE1517" t="s">
        <v>134</v>
      </c>
      <c r="CI1517">
        <v>1</v>
      </c>
      <c r="CJ1517" t="s">
        <v>500</v>
      </c>
      <c r="CK1517">
        <v>21</v>
      </c>
      <c r="CL1517" t="s">
        <v>87</v>
      </c>
    </row>
    <row r="1518" spans="1:90" x14ac:dyDescent="0.3">
      <c r="A1518" t="s">
        <v>72</v>
      </c>
      <c r="B1518" t="s">
        <v>73</v>
      </c>
      <c r="C1518" t="s">
        <v>74</v>
      </c>
      <c r="E1518" t="str">
        <f>"080069842679"</f>
        <v>080069842679</v>
      </c>
      <c r="F1518" s="3">
        <v>46002</v>
      </c>
      <c r="G1518">
        <v>202609</v>
      </c>
      <c r="H1518" t="s">
        <v>75</v>
      </c>
      <c r="I1518" t="s">
        <v>76</v>
      </c>
      <c r="J1518" t="s">
        <v>77</v>
      </c>
      <c r="K1518" t="s">
        <v>78</v>
      </c>
      <c r="L1518" t="s">
        <v>100</v>
      </c>
      <c r="M1518" t="s">
        <v>101</v>
      </c>
      <c r="N1518" t="s">
        <v>1153</v>
      </c>
      <c r="O1518" t="s">
        <v>89</v>
      </c>
      <c r="P1518" t="str">
        <f>"4170073021                    "</f>
        <v xml:space="preserve">4170073021                    </v>
      </c>
      <c r="Q1518">
        <v>0</v>
      </c>
      <c r="R1518">
        <v>0</v>
      </c>
      <c r="S1518">
        <v>0</v>
      </c>
      <c r="T1518">
        <v>0</v>
      </c>
      <c r="U1518">
        <v>0</v>
      </c>
      <c r="V1518">
        <v>0</v>
      </c>
      <c r="W1518">
        <v>0</v>
      </c>
      <c r="X1518">
        <v>0</v>
      </c>
      <c r="Y1518">
        <v>0</v>
      </c>
      <c r="Z1518">
        <v>0</v>
      </c>
      <c r="AA1518">
        <v>0</v>
      </c>
      <c r="AB1518">
        <v>0</v>
      </c>
      <c r="AC1518">
        <v>0</v>
      </c>
      <c r="AD1518">
        <v>0</v>
      </c>
      <c r="AE1518">
        <v>0</v>
      </c>
      <c r="AF1518">
        <v>0</v>
      </c>
      <c r="AG1518">
        <v>0</v>
      </c>
      <c r="AH1518">
        <v>0</v>
      </c>
      <c r="AI1518">
        <v>0</v>
      </c>
      <c r="AJ1518">
        <v>0</v>
      </c>
      <c r="AK1518">
        <v>0</v>
      </c>
      <c r="AL1518">
        <v>0</v>
      </c>
      <c r="AM1518">
        <v>0</v>
      </c>
      <c r="AN1518">
        <v>0</v>
      </c>
      <c r="AO1518">
        <v>0</v>
      </c>
      <c r="AP1518">
        <v>0</v>
      </c>
      <c r="AQ1518">
        <v>25.52</v>
      </c>
      <c r="AR1518">
        <v>0</v>
      </c>
      <c r="AS1518">
        <v>0</v>
      </c>
      <c r="AT1518">
        <v>0</v>
      </c>
      <c r="AU1518">
        <v>0</v>
      </c>
      <c r="AV1518">
        <v>0</v>
      </c>
      <c r="AW1518">
        <v>0</v>
      </c>
      <c r="AX1518">
        <v>0</v>
      </c>
      <c r="AY1518">
        <v>0</v>
      </c>
      <c r="AZ1518">
        <v>0</v>
      </c>
      <c r="BA1518">
        <v>0</v>
      </c>
      <c r="BB1518">
        <v>0</v>
      </c>
      <c r="BC1518">
        <v>0</v>
      </c>
      <c r="BD1518">
        <v>0</v>
      </c>
      <c r="BE1518">
        <v>0</v>
      </c>
      <c r="BF1518">
        <v>0</v>
      </c>
      <c r="BG1518">
        <v>0</v>
      </c>
      <c r="BH1518">
        <v>1</v>
      </c>
      <c r="BI1518">
        <v>1</v>
      </c>
      <c r="BJ1518">
        <v>0.2</v>
      </c>
      <c r="BK1518">
        <v>1</v>
      </c>
      <c r="BL1518">
        <v>76.06</v>
      </c>
      <c r="BM1518">
        <v>11.41</v>
      </c>
      <c r="BN1518">
        <v>87.47</v>
      </c>
      <c r="BO1518">
        <v>87.47</v>
      </c>
      <c r="BQ1518" t="s">
        <v>1154</v>
      </c>
      <c r="BR1518" t="s">
        <v>82</v>
      </c>
      <c r="BS1518" t="s">
        <v>500</v>
      </c>
      <c r="BY1518">
        <v>1200</v>
      </c>
      <c r="CC1518" t="s">
        <v>101</v>
      </c>
      <c r="CD1518">
        <v>4052</v>
      </c>
      <c r="CE1518" t="s">
        <v>134</v>
      </c>
      <c r="CI1518">
        <v>1</v>
      </c>
      <c r="CJ1518" t="s">
        <v>500</v>
      </c>
      <c r="CK1518">
        <v>21</v>
      </c>
      <c r="CL1518" t="s">
        <v>87</v>
      </c>
    </row>
    <row r="1519" spans="1:90" x14ac:dyDescent="0.3">
      <c r="A1519" t="s">
        <v>72</v>
      </c>
      <c r="B1519" t="s">
        <v>73</v>
      </c>
      <c r="C1519" t="s">
        <v>74</v>
      </c>
      <c r="E1519" t="str">
        <f>"080069842688"</f>
        <v>080069842688</v>
      </c>
      <c r="F1519" s="3">
        <v>46002</v>
      </c>
      <c r="G1519">
        <v>202609</v>
      </c>
      <c r="H1519" t="s">
        <v>75</v>
      </c>
      <c r="I1519" t="s">
        <v>76</v>
      </c>
      <c r="J1519" t="s">
        <v>77</v>
      </c>
      <c r="K1519" t="s">
        <v>78</v>
      </c>
      <c r="L1519" t="s">
        <v>502</v>
      </c>
      <c r="M1519" t="s">
        <v>503</v>
      </c>
      <c r="N1519" t="s">
        <v>738</v>
      </c>
      <c r="O1519" t="s">
        <v>340</v>
      </c>
      <c r="P1519" t="str">
        <f>"4170072957                    "</f>
        <v xml:space="preserve">4170072957                    </v>
      </c>
      <c r="Q1519">
        <v>0</v>
      </c>
      <c r="R1519">
        <v>0</v>
      </c>
      <c r="S1519">
        <v>0</v>
      </c>
      <c r="T1519">
        <v>0</v>
      </c>
      <c r="U1519">
        <v>0</v>
      </c>
      <c r="V1519">
        <v>0</v>
      </c>
      <c r="W1519">
        <v>0</v>
      </c>
      <c r="X1519">
        <v>0</v>
      </c>
      <c r="Y1519">
        <v>0</v>
      </c>
      <c r="Z1519">
        <v>0</v>
      </c>
      <c r="AA1519">
        <v>0</v>
      </c>
      <c r="AB1519">
        <v>0</v>
      </c>
      <c r="AC1519">
        <v>0</v>
      </c>
      <c r="AD1519">
        <v>0</v>
      </c>
      <c r="AE1519">
        <v>0</v>
      </c>
      <c r="AF1519">
        <v>0</v>
      </c>
      <c r="AG1519">
        <v>0</v>
      </c>
      <c r="AH1519">
        <v>0</v>
      </c>
      <c r="AI1519">
        <v>0</v>
      </c>
      <c r="AJ1519">
        <v>0</v>
      </c>
      <c r="AK1519">
        <v>0</v>
      </c>
      <c r="AL1519">
        <v>0</v>
      </c>
      <c r="AM1519">
        <v>0</v>
      </c>
      <c r="AN1519">
        <v>0</v>
      </c>
      <c r="AO1519">
        <v>0</v>
      </c>
      <c r="AP1519">
        <v>0</v>
      </c>
      <c r="AQ1519">
        <v>19.940000000000001</v>
      </c>
      <c r="AR1519">
        <v>0</v>
      </c>
      <c r="AS1519">
        <v>0</v>
      </c>
      <c r="AT1519">
        <v>0</v>
      </c>
      <c r="AU1519">
        <v>0</v>
      </c>
      <c r="AV1519">
        <v>0</v>
      </c>
      <c r="AW1519">
        <v>0</v>
      </c>
      <c r="AX1519">
        <v>0</v>
      </c>
      <c r="AY1519">
        <v>0</v>
      </c>
      <c r="AZ1519">
        <v>0</v>
      </c>
      <c r="BA1519">
        <v>0</v>
      </c>
      <c r="BB1519">
        <v>0</v>
      </c>
      <c r="BC1519">
        <v>0</v>
      </c>
      <c r="BD1519">
        <v>0</v>
      </c>
      <c r="BE1519">
        <v>0</v>
      </c>
      <c r="BF1519">
        <v>0</v>
      </c>
      <c r="BG1519">
        <v>0</v>
      </c>
      <c r="BH1519">
        <v>2</v>
      </c>
      <c r="BI1519">
        <v>5</v>
      </c>
      <c r="BJ1519">
        <v>7.7</v>
      </c>
      <c r="BK1519">
        <v>8</v>
      </c>
      <c r="BL1519">
        <v>59.43</v>
      </c>
      <c r="BM1519">
        <v>8.91</v>
      </c>
      <c r="BN1519">
        <v>68.34</v>
      </c>
      <c r="BO1519">
        <v>68.34</v>
      </c>
      <c r="BQ1519" t="s">
        <v>739</v>
      </c>
      <c r="BR1519" t="s">
        <v>82</v>
      </c>
      <c r="BS1519" t="s">
        <v>500</v>
      </c>
      <c r="BY1519">
        <v>38680</v>
      </c>
      <c r="CC1519" t="s">
        <v>503</v>
      </c>
      <c r="CD1519">
        <v>1559</v>
      </c>
      <c r="CE1519" t="s">
        <v>86</v>
      </c>
      <c r="CI1519">
        <v>1</v>
      </c>
      <c r="CJ1519" t="s">
        <v>500</v>
      </c>
      <c r="CK1519">
        <v>32</v>
      </c>
      <c r="CL1519" t="s">
        <v>87</v>
      </c>
    </row>
    <row r="1520" spans="1:90" x14ac:dyDescent="0.3">
      <c r="A1520" t="s">
        <v>72</v>
      </c>
      <c r="B1520" t="s">
        <v>73</v>
      </c>
      <c r="C1520" t="s">
        <v>74</v>
      </c>
      <c r="E1520" t="str">
        <f>"080069842716"</f>
        <v>080069842716</v>
      </c>
      <c r="F1520" s="3">
        <v>46002</v>
      </c>
      <c r="G1520">
        <v>202609</v>
      </c>
      <c r="H1520" t="s">
        <v>75</v>
      </c>
      <c r="I1520" t="s">
        <v>76</v>
      </c>
      <c r="J1520" t="s">
        <v>77</v>
      </c>
      <c r="K1520" t="s">
        <v>78</v>
      </c>
      <c r="L1520" t="s">
        <v>75</v>
      </c>
      <c r="M1520" t="s">
        <v>76</v>
      </c>
      <c r="N1520" t="s">
        <v>195</v>
      </c>
      <c r="O1520" t="s">
        <v>89</v>
      </c>
      <c r="P1520" t="str">
        <f>"4170073006                    "</f>
        <v xml:space="preserve">4170073006                    </v>
      </c>
      <c r="Q1520">
        <v>0</v>
      </c>
      <c r="R1520">
        <v>0</v>
      </c>
      <c r="S1520">
        <v>0</v>
      </c>
      <c r="T1520">
        <v>0</v>
      </c>
      <c r="U1520">
        <v>0</v>
      </c>
      <c r="V1520">
        <v>0</v>
      </c>
      <c r="W1520">
        <v>0</v>
      </c>
      <c r="X1520">
        <v>0</v>
      </c>
      <c r="Y1520">
        <v>0</v>
      </c>
      <c r="Z1520">
        <v>0</v>
      </c>
      <c r="AA1520">
        <v>0</v>
      </c>
      <c r="AB1520">
        <v>0</v>
      </c>
      <c r="AC1520">
        <v>0</v>
      </c>
      <c r="AD1520">
        <v>0</v>
      </c>
      <c r="AE1520">
        <v>0</v>
      </c>
      <c r="AF1520">
        <v>0</v>
      </c>
      <c r="AG1520">
        <v>0</v>
      </c>
      <c r="AH1520">
        <v>0</v>
      </c>
      <c r="AI1520">
        <v>0</v>
      </c>
      <c r="AJ1520">
        <v>0</v>
      </c>
      <c r="AK1520">
        <v>0</v>
      </c>
      <c r="AL1520">
        <v>0</v>
      </c>
      <c r="AM1520">
        <v>0</v>
      </c>
      <c r="AN1520">
        <v>0</v>
      </c>
      <c r="AO1520">
        <v>0</v>
      </c>
      <c r="AP1520">
        <v>0</v>
      </c>
      <c r="AQ1520">
        <v>19.940000000000001</v>
      </c>
      <c r="AR1520">
        <v>0</v>
      </c>
      <c r="AS1520">
        <v>0</v>
      </c>
      <c r="AT1520">
        <v>0</v>
      </c>
      <c r="AU1520">
        <v>0</v>
      </c>
      <c r="AV1520">
        <v>0</v>
      </c>
      <c r="AW1520">
        <v>0</v>
      </c>
      <c r="AX1520">
        <v>0</v>
      </c>
      <c r="AY1520">
        <v>0</v>
      </c>
      <c r="AZ1520">
        <v>0</v>
      </c>
      <c r="BA1520">
        <v>0</v>
      </c>
      <c r="BB1520">
        <v>0</v>
      </c>
      <c r="BC1520">
        <v>0</v>
      </c>
      <c r="BD1520">
        <v>0</v>
      </c>
      <c r="BE1520">
        <v>0</v>
      </c>
      <c r="BF1520">
        <v>0</v>
      </c>
      <c r="BG1520">
        <v>0</v>
      </c>
      <c r="BH1520">
        <v>1</v>
      </c>
      <c r="BI1520">
        <v>1</v>
      </c>
      <c r="BJ1520">
        <v>0.2</v>
      </c>
      <c r="BK1520">
        <v>1</v>
      </c>
      <c r="BL1520">
        <v>59.42</v>
      </c>
      <c r="BM1520">
        <v>8.91</v>
      </c>
      <c r="BN1520">
        <v>68.33</v>
      </c>
      <c r="BO1520">
        <v>68.33</v>
      </c>
      <c r="BQ1520" t="s">
        <v>196</v>
      </c>
      <c r="BR1520" t="s">
        <v>82</v>
      </c>
      <c r="BS1520" t="s">
        <v>500</v>
      </c>
      <c r="BY1520">
        <v>1200</v>
      </c>
      <c r="CC1520" t="s">
        <v>76</v>
      </c>
      <c r="CD1520">
        <v>1600</v>
      </c>
      <c r="CE1520" t="s">
        <v>134</v>
      </c>
      <c r="CI1520">
        <v>1</v>
      </c>
      <c r="CJ1520" t="s">
        <v>500</v>
      </c>
      <c r="CK1520">
        <v>22</v>
      </c>
      <c r="CL1520" t="s">
        <v>87</v>
      </c>
    </row>
    <row r="1521" spans="1:90" x14ac:dyDescent="0.3">
      <c r="A1521" t="s">
        <v>72</v>
      </c>
      <c r="B1521" t="s">
        <v>73</v>
      </c>
      <c r="C1521" t="s">
        <v>74</v>
      </c>
      <c r="E1521" t="str">
        <f>"080069842750"</f>
        <v>080069842750</v>
      </c>
      <c r="F1521" s="3">
        <v>46002</v>
      </c>
      <c r="G1521">
        <v>202609</v>
      </c>
      <c r="H1521" t="s">
        <v>75</v>
      </c>
      <c r="I1521" t="s">
        <v>76</v>
      </c>
      <c r="J1521" t="s">
        <v>77</v>
      </c>
      <c r="K1521" t="s">
        <v>78</v>
      </c>
      <c r="L1521" t="s">
        <v>528</v>
      </c>
      <c r="M1521" t="s">
        <v>529</v>
      </c>
      <c r="N1521" t="s">
        <v>2151</v>
      </c>
      <c r="O1521" t="s">
        <v>80</v>
      </c>
      <c r="P1521" t="str">
        <f>"4170072942                    "</f>
        <v xml:space="preserve">4170072942                    </v>
      </c>
      <c r="Q1521">
        <v>0</v>
      </c>
      <c r="R1521">
        <v>0</v>
      </c>
      <c r="S1521">
        <v>0</v>
      </c>
      <c r="T1521">
        <v>0</v>
      </c>
      <c r="U1521">
        <v>0</v>
      </c>
      <c r="V1521">
        <v>0</v>
      </c>
      <c r="W1521">
        <v>0</v>
      </c>
      <c r="X1521">
        <v>0</v>
      </c>
      <c r="Y1521">
        <v>0</v>
      </c>
      <c r="Z1521">
        <v>0</v>
      </c>
      <c r="AA1521">
        <v>0</v>
      </c>
      <c r="AB1521">
        <v>0</v>
      </c>
      <c r="AC1521">
        <v>0</v>
      </c>
      <c r="AD1521">
        <v>0</v>
      </c>
      <c r="AE1521">
        <v>0</v>
      </c>
      <c r="AF1521">
        <v>0</v>
      </c>
      <c r="AG1521">
        <v>0</v>
      </c>
      <c r="AH1521">
        <v>0</v>
      </c>
      <c r="AI1521">
        <v>0</v>
      </c>
      <c r="AJ1521">
        <v>0</v>
      </c>
      <c r="AK1521">
        <v>0</v>
      </c>
      <c r="AL1521">
        <v>0</v>
      </c>
      <c r="AM1521">
        <v>0</v>
      </c>
      <c r="AN1521">
        <v>0</v>
      </c>
      <c r="AO1521">
        <v>0</v>
      </c>
      <c r="AP1521">
        <v>0</v>
      </c>
      <c r="AQ1521">
        <v>80.28</v>
      </c>
      <c r="AR1521">
        <v>0</v>
      </c>
      <c r="AS1521">
        <v>0</v>
      </c>
      <c r="AT1521">
        <v>0</v>
      </c>
      <c r="AU1521">
        <v>0</v>
      </c>
      <c r="AV1521">
        <v>0</v>
      </c>
      <c r="AW1521">
        <v>17.41</v>
      </c>
      <c r="AX1521">
        <v>0</v>
      </c>
      <c r="AY1521">
        <v>0</v>
      </c>
      <c r="AZ1521">
        <v>0</v>
      </c>
      <c r="BA1521">
        <v>0</v>
      </c>
      <c r="BB1521">
        <v>0</v>
      </c>
      <c r="BC1521">
        <v>0</v>
      </c>
      <c r="BD1521">
        <v>0</v>
      </c>
      <c r="BE1521">
        <v>0</v>
      </c>
      <c r="BF1521">
        <v>0</v>
      </c>
      <c r="BG1521">
        <v>0</v>
      </c>
      <c r="BH1521">
        <v>1</v>
      </c>
      <c r="BI1521">
        <v>12</v>
      </c>
      <c r="BJ1521">
        <v>17.7</v>
      </c>
      <c r="BK1521">
        <v>18</v>
      </c>
      <c r="BL1521">
        <v>262.76</v>
      </c>
      <c r="BM1521">
        <v>39.409999999999997</v>
      </c>
      <c r="BN1521">
        <v>302.17</v>
      </c>
      <c r="BO1521">
        <v>302.17</v>
      </c>
      <c r="BQ1521" t="s">
        <v>2152</v>
      </c>
      <c r="BR1521" t="s">
        <v>82</v>
      </c>
      <c r="BS1521" t="s">
        <v>500</v>
      </c>
      <c r="BY1521">
        <v>88320</v>
      </c>
      <c r="BZ1521" t="s">
        <v>30</v>
      </c>
      <c r="CC1521" t="s">
        <v>529</v>
      </c>
      <c r="CD1521" s="5" t="s">
        <v>2153</v>
      </c>
      <c r="CE1521" t="s">
        <v>86</v>
      </c>
      <c r="CI1521">
        <v>1</v>
      </c>
      <c r="CJ1521" t="s">
        <v>500</v>
      </c>
      <c r="CK1521">
        <v>43</v>
      </c>
      <c r="CL1521" t="s">
        <v>87</v>
      </c>
    </row>
    <row r="1522" spans="1:90" x14ac:dyDescent="0.3">
      <c r="A1522" t="s">
        <v>72</v>
      </c>
      <c r="B1522" t="s">
        <v>73</v>
      </c>
      <c r="C1522" t="s">
        <v>74</v>
      </c>
      <c r="E1522" t="str">
        <f>"080069842769"</f>
        <v>080069842769</v>
      </c>
      <c r="F1522" s="3">
        <v>46002</v>
      </c>
      <c r="G1522">
        <v>202609</v>
      </c>
      <c r="H1522" t="s">
        <v>75</v>
      </c>
      <c r="I1522" t="s">
        <v>76</v>
      </c>
      <c r="J1522" t="s">
        <v>77</v>
      </c>
      <c r="K1522" t="s">
        <v>78</v>
      </c>
      <c r="L1522" t="s">
        <v>75</v>
      </c>
      <c r="M1522" t="s">
        <v>76</v>
      </c>
      <c r="N1522" t="s">
        <v>2164</v>
      </c>
      <c r="O1522" t="s">
        <v>89</v>
      </c>
      <c r="P1522" t="str">
        <f>"4170073042                    "</f>
        <v xml:space="preserve">4170073042                    </v>
      </c>
      <c r="Q1522">
        <v>0</v>
      </c>
      <c r="R1522">
        <v>0</v>
      </c>
      <c r="S1522">
        <v>0</v>
      </c>
      <c r="T1522">
        <v>0</v>
      </c>
      <c r="U1522">
        <v>0</v>
      </c>
      <c r="V1522">
        <v>0</v>
      </c>
      <c r="W1522">
        <v>0</v>
      </c>
      <c r="X1522">
        <v>0</v>
      </c>
      <c r="Y1522">
        <v>0</v>
      </c>
      <c r="Z1522">
        <v>0</v>
      </c>
      <c r="AA1522">
        <v>0</v>
      </c>
      <c r="AB1522">
        <v>0</v>
      </c>
      <c r="AC1522">
        <v>0</v>
      </c>
      <c r="AD1522">
        <v>0</v>
      </c>
      <c r="AE1522">
        <v>0</v>
      </c>
      <c r="AF1522">
        <v>0</v>
      </c>
      <c r="AG1522">
        <v>0</v>
      </c>
      <c r="AH1522">
        <v>0</v>
      </c>
      <c r="AI1522">
        <v>0</v>
      </c>
      <c r="AJ1522">
        <v>0</v>
      </c>
      <c r="AK1522">
        <v>0</v>
      </c>
      <c r="AL1522">
        <v>0</v>
      </c>
      <c r="AM1522">
        <v>0</v>
      </c>
      <c r="AN1522">
        <v>0</v>
      </c>
      <c r="AO1522">
        <v>0</v>
      </c>
      <c r="AP1522">
        <v>0</v>
      </c>
      <c r="AQ1522">
        <v>19.940000000000001</v>
      </c>
      <c r="AR1522">
        <v>0</v>
      </c>
      <c r="AS1522">
        <v>0</v>
      </c>
      <c r="AT1522">
        <v>0</v>
      </c>
      <c r="AU1522">
        <v>0</v>
      </c>
      <c r="AV1522">
        <v>0</v>
      </c>
      <c r="AW1522">
        <v>0</v>
      </c>
      <c r="AX1522">
        <v>0</v>
      </c>
      <c r="AY1522">
        <v>0</v>
      </c>
      <c r="AZ1522">
        <v>0</v>
      </c>
      <c r="BA1522">
        <v>0</v>
      </c>
      <c r="BB1522">
        <v>0</v>
      </c>
      <c r="BC1522">
        <v>0</v>
      </c>
      <c r="BD1522">
        <v>0</v>
      </c>
      <c r="BE1522">
        <v>0</v>
      </c>
      <c r="BF1522">
        <v>0</v>
      </c>
      <c r="BG1522">
        <v>0</v>
      </c>
      <c r="BH1522">
        <v>1</v>
      </c>
      <c r="BI1522">
        <v>1</v>
      </c>
      <c r="BJ1522">
        <v>0.2</v>
      </c>
      <c r="BK1522">
        <v>1</v>
      </c>
      <c r="BL1522">
        <v>59.42</v>
      </c>
      <c r="BM1522">
        <v>8.91</v>
      </c>
      <c r="BN1522">
        <v>68.33</v>
      </c>
      <c r="BO1522">
        <v>68.33</v>
      </c>
      <c r="BQ1522" t="s">
        <v>2165</v>
      </c>
      <c r="BR1522" t="s">
        <v>82</v>
      </c>
      <c r="BS1522" t="s">
        <v>500</v>
      </c>
      <c r="BY1522">
        <v>1200</v>
      </c>
      <c r="CC1522" t="s">
        <v>76</v>
      </c>
      <c r="CD1522">
        <v>1600</v>
      </c>
      <c r="CE1522" t="s">
        <v>134</v>
      </c>
      <c r="CI1522">
        <v>1</v>
      </c>
      <c r="CJ1522" t="s">
        <v>500</v>
      </c>
      <c r="CK1522">
        <v>22</v>
      </c>
      <c r="CL1522" t="s">
        <v>87</v>
      </c>
    </row>
    <row r="1523" spans="1:90" x14ac:dyDescent="0.3">
      <c r="A1523" t="s">
        <v>72</v>
      </c>
      <c r="B1523" t="s">
        <v>73</v>
      </c>
      <c r="C1523" t="s">
        <v>74</v>
      </c>
      <c r="E1523" t="str">
        <f>"080069842800"</f>
        <v>080069842800</v>
      </c>
      <c r="F1523" s="3">
        <v>46002</v>
      </c>
      <c r="G1523">
        <v>202609</v>
      </c>
      <c r="H1523" t="s">
        <v>75</v>
      </c>
      <c r="I1523" t="s">
        <v>76</v>
      </c>
      <c r="J1523" t="s">
        <v>77</v>
      </c>
      <c r="K1523" t="s">
        <v>78</v>
      </c>
      <c r="L1523" t="s">
        <v>100</v>
      </c>
      <c r="M1523" t="s">
        <v>101</v>
      </c>
      <c r="N1523" t="s">
        <v>102</v>
      </c>
      <c r="O1523" t="s">
        <v>89</v>
      </c>
      <c r="P1523" t="str">
        <f>"4170073091                    "</f>
        <v xml:space="preserve">4170073091                    </v>
      </c>
      <c r="Q1523">
        <v>0</v>
      </c>
      <c r="R1523">
        <v>0</v>
      </c>
      <c r="S1523">
        <v>0</v>
      </c>
      <c r="T1523">
        <v>0</v>
      </c>
      <c r="U1523">
        <v>0</v>
      </c>
      <c r="V1523">
        <v>0</v>
      </c>
      <c r="W1523">
        <v>0</v>
      </c>
      <c r="X1523">
        <v>0</v>
      </c>
      <c r="Y1523">
        <v>0</v>
      </c>
      <c r="Z1523">
        <v>0</v>
      </c>
      <c r="AA1523">
        <v>0</v>
      </c>
      <c r="AB1523">
        <v>0</v>
      </c>
      <c r="AC1523">
        <v>0</v>
      </c>
      <c r="AD1523">
        <v>0</v>
      </c>
      <c r="AE1523">
        <v>0</v>
      </c>
      <c r="AF1523">
        <v>0</v>
      </c>
      <c r="AG1523">
        <v>0</v>
      </c>
      <c r="AH1523">
        <v>0</v>
      </c>
      <c r="AI1523">
        <v>0</v>
      </c>
      <c r="AJ1523">
        <v>0</v>
      </c>
      <c r="AK1523">
        <v>0</v>
      </c>
      <c r="AL1523">
        <v>0</v>
      </c>
      <c r="AM1523">
        <v>0</v>
      </c>
      <c r="AN1523">
        <v>0</v>
      </c>
      <c r="AO1523">
        <v>0</v>
      </c>
      <c r="AP1523">
        <v>0</v>
      </c>
      <c r="AQ1523">
        <v>25.52</v>
      </c>
      <c r="AR1523">
        <v>0</v>
      </c>
      <c r="AS1523">
        <v>0</v>
      </c>
      <c r="AT1523">
        <v>0</v>
      </c>
      <c r="AU1523">
        <v>0</v>
      </c>
      <c r="AV1523">
        <v>0</v>
      </c>
      <c r="AW1523">
        <v>0</v>
      </c>
      <c r="AX1523">
        <v>0</v>
      </c>
      <c r="AY1523">
        <v>0</v>
      </c>
      <c r="AZ1523">
        <v>0</v>
      </c>
      <c r="BA1523">
        <v>0</v>
      </c>
      <c r="BB1523">
        <v>0</v>
      </c>
      <c r="BC1523">
        <v>0</v>
      </c>
      <c r="BD1523">
        <v>0</v>
      </c>
      <c r="BE1523">
        <v>0</v>
      </c>
      <c r="BF1523">
        <v>0</v>
      </c>
      <c r="BG1523">
        <v>0</v>
      </c>
      <c r="BH1523">
        <v>1</v>
      </c>
      <c r="BI1523">
        <v>1</v>
      </c>
      <c r="BJ1523">
        <v>1.4</v>
      </c>
      <c r="BK1523">
        <v>1.5</v>
      </c>
      <c r="BL1523">
        <v>76.06</v>
      </c>
      <c r="BM1523">
        <v>11.41</v>
      </c>
      <c r="BN1523">
        <v>87.47</v>
      </c>
      <c r="BO1523">
        <v>87.47</v>
      </c>
      <c r="BQ1523" t="s">
        <v>103</v>
      </c>
      <c r="BR1523" t="s">
        <v>82</v>
      </c>
      <c r="BS1523" t="s">
        <v>500</v>
      </c>
      <c r="BY1523">
        <v>7000</v>
      </c>
      <c r="CC1523" t="s">
        <v>101</v>
      </c>
      <c r="CD1523">
        <v>4051</v>
      </c>
      <c r="CE1523" t="s">
        <v>86</v>
      </c>
      <c r="CI1523">
        <v>1</v>
      </c>
      <c r="CJ1523" t="s">
        <v>500</v>
      </c>
      <c r="CK1523">
        <v>21</v>
      </c>
      <c r="CL1523" t="s">
        <v>87</v>
      </c>
    </row>
    <row r="1524" spans="1:90" x14ac:dyDescent="0.3">
      <c r="A1524" t="s">
        <v>72</v>
      </c>
      <c r="B1524" t="s">
        <v>73</v>
      </c>
      <c r="C1524" t="s">
        <v>74</v>
      </c>
      <c r="E1524" t="str">
        <f>"080069842861"</f>
        <v>080069842861</v>
      </c>
      <c r="F1524" s="3">
        <v>46002</v>
      </c>
      <c r="G1524">
        <v>202609</v>
      </c>
      <c r="H1524" t="s">
        <v>75</v>
      </c>
      <c r="I1524" t="s">
        <v>76</v>
      </c>
      <c r="J1524" t="s">
        <v>77</v>
      </c>
      <c r="K1524" t="s">
        <v>78</v>
      </c>
      <c r="L1524" t="s">
        <v>156</v>
      </c>
      <c r="M1524" t="s">
        <v>157</v>
      </c>
      <c r="N1524" t="s">
        <v>1926</v>
      </c>
      <c r="O1524" t="s">
        <v>89</v>
      </c>
      <c r="P1524" t="str">
        <f>"4170072987                    "</f>
        <v xml:space="preserve">4170072987                    </v>
      </c>
      <c r="Q1524">
        <v>0</v>
      </c>
      <c r="R1524">
        <v>0</v>
      </c>
      <c r="S1524">
        <v>0</v>
      </c>
      <c r="T1524">
        <v>0</v>
      </c>
      <c r="U1524">
        <v>0</v>
      </c>
      <c r="V1524">
        <v>0</v>
      </c>
      <c r="W1524">
        <v>0</v>
      </c>
      <c r="X1524">
        <v>0</v>
      </c>
      <c r="Y1524">
        <v>0</v>
      </c>
      <c r="Z1524">
        <v>0</v>
      </c>
      <c r="AA1524">
        <v>0</v>
      </c>
      <c r="AB1524">
        <v>0</v>
      </c>
      <c r="AC1524">
        <v>0</v>
      </c>
      <c r="AD1524">
        <v>0</v>
      </c>
      <c r="AE1524">
        <v>0</v>
      </c>
      <c r="AF1524">
        <v>0</v>
      </c>
      <c r="AG1524">
        <v>0</v>
      </c>
      <c r="AH1524">
        <v>0</v>
      </c>
      <c r="AI1524">
        <v>0</v>
      </c>
      <c r="AJ1524">
        <v>0</v>
      </c>
      <c r="AK1524">
        <v>0</v>
      </c>
      <c r="AL1524">
        <v>0</v>
      </c>
      <c r="AM1524">
        <v>0</v>
      </c>
      <c r="AN1524">
        <v>0</v>
      </c>
      <c r="AO1524">
        <v>0</v>
      </c>
      <c r="AP1524">
        <v>0</v>
      </c>
      <c r="AQ1524">
        <v>25.52</v>
      </c>
      <c r="AR1524">
        <v>0</v>
      </c>
      <c r="AS1524">
        <v>0</v>
      </c>
      <c r="AT1524">
        <v>0</v>
      </c>
      <c r="AU1524">
        <v>0</v>
      </c>
      <c r="AV1524">
        <v>0</v>
      </c>
      <c r="AW1524">
        <v>0</v>
      </c>
      <c r="AX1524">
        <v>0</v>
      </c>
      <c r="AY1524">
        <v>0</v>
      </c>
      <c r="AZ1524">
        <v>0</v>
      </c>
      <c r="BA1524">
        <v>0</v>
      </c>
      <c r="BB1524">
        <v>0</v>
      </c>
      <c r="BC1524">
        <v>0</v>
      </c>
      <c r="BD1524">
        <v>0</v>
      </c>
      <c r="BE1524">
        <v>0</v>
      </c>
      <c r="BF1524">
        <v>0</v>
      </c>
      <c r="BG1524">
        <v>0</v>
      </c>
      <c r="BH1524">
        <v>1</v>
      </c>
      <c r="BI1524">
        <v>2</v>
      </c>
      <c r="BJ1524">
        <v>1.1000000000000001</v>
      </c>
      <c r="BK1524">
        <v>2</v>
      </c>
      <c r="BL1524">
        <v>76.06</v>
      </c>
      <c r="BM1524">
        <v>11.41</v>
      </c>
      <c r="BN1524">
        <v>87.47</v>
      </c>
      <c r="BO1524">
        <v>87.47</v>
      </c>
      <c r="BQ1524" t="s">
        <v>1927</v>
      </c>
      <c r="BR1524" t="s">
        <v>82</v>
      </c>
      <c r="BS1524" t="s">
        <v>500</v>
      </c>
      <c r="BY1524">
        <v>5510</v>
      </c>
      <c r="CC1524" t="s">
        <v>157</v>
      </c>
      <c r="CD1524">
        <v>7480</v>
      </c>
      <c r="CE1524" t="s">
        <v>86</v>
      </c>
      <c r="CI1524">
        <v>1</v>
      </c>
      <c r="CJ1524" t="s">
        <v>500</v>
      </c>
      <c r="CK1524">
        <v>21</v>
      </c>
      <c r="CL1524" t="s">
        <v>87</v>
      </c>
    </row>
    <row r="1525" spans="1:90" x14ac:dyDescent="0.3">
      <c r="A1525" t="s">
        <v>72</v>
      </c>
      <c r="B1525" t="s">
        <v>73</v>
      </c>
      <c r="C1525" t="s">
        <v>74</v>
      </c>
      <c r="E1525" t="str">
        <f>"080069842932"</f>
        <v>080069842932</v>
      </c>
      <c r="F1525" s="3">
        <v>46002</v>
      </c>
      <c r="G1525">
        <v>202609</v>
      </c>
      <c r="H1525" t="s">
        <v>75</v>
      </c>
      <c r="I1525" t="s">
        <v>76</v>
      </c>
      <c r="J1525" t="s">
        <v>77</v>
      </c>
      <c r="K1525" t="s">
        <v>78</v>
      </c>
      <c r="L1525" t="s">
        <v>943</v>
      </c>
      <c r="M1525" t="s">
        <v>944</v>
      </c>
      <c r="N1525" t="s">
        <v>945</v>
      </c>
      <c r="O1525" t="s">
        <v>89</v>
      </c>
      <c r="P1525" t="str">
        <f>"4170073056                    "</f>
        <v xml:space="preserve">4170073056                    </v>
      </c>
      <c r="Q1525">
        <v>0</v>
      </c>
      <c r="R1525">
        <v>0</v>
      </c>
      <c r="S1525">
        <v>0</v>
      </c>
      <c r="T1525">
        <v>0</v>
      </c>
      <c r="U1525">
        <v>0</v>
      </c>
      <c r="V1525">
        <v>0</v>
      </c>
      <c r="W1525">
        <v>0</v>
      </c>
      <c r="X1525">
        <v>0</v>
      </c>
      <c r="Y1525">
        <v>0</v>
      </c>
      <c r="Z1525">
        <v>0</v>
      </c>
      <c r="AA1525">
        <v>0</v>
      </c>
      <c r="AB1525">
        <v>0</v>
      </c>
      <c r="AC1525">
        <v>0</v>
      </c>
      <c r="AD1525">
        <v>0</v>
      </c>
      <c r="AE1525">
        <v>0</v>
      </c>
      <c r="AF1525">
        <v>0</v>
      </c>
      <c r="AG1525">
        <v>0</v>
      </c>
      <c r="AH1525">
        <v>0</v>
      </c>
      <c r="AI1525">
        <v>0</v>
      </c>
      <c r="AJ1525">
        <v>0</v>
      </c>
      <c r="AK1525">
        <v>0</v>
      </c>
      <c r="AL1525">
        <v>0</v>
      </c>
      <c r="AM1525">
        <v>0</v>
      </c>
      <c r="AN1525">
        <v>0</v>
      </c>
      <c r="AO1525">
        <v>0</v>
      </c>
      <c r="AP1525">
        <v>0</v>
      </c>
      <c r="AQ1525">
        <v>19.940000000000001</v>
      </c>
      <c r="AR1525">
        <v>0</v>
      </c>
      <c r="AS1525">
        <v>0</v>
      </c>
      <c r="AT1525">
        <v>0</v>
      </c>
      <c r="AU1525">
        <v>0</v>
      </c>
      <c r="AV1525">
        <v>0</v>
      </c>
      <c r="AW1525">
        <v>0</v>
      </c>
      <c r="AX1525">
        <v>0</v>
      </c>
      <c r="AY1525">
        <v>0</v>
      </c>
      <c r="AZ1525">
        <v>0</v>
      </c>
      <c r="BA1525">
        <v>0</v>
      </c>
      <c r="BB1525">
        <v>0</v>
      </c>
      <c r="BC1525">
        <v>0</v>
      </c>
      <c r="BD1525">
        <v>0</v>
      </c>
      <c r="BE1525">
        <v>0</v>
      </c>
      <c r="BF1525">
        <v>0</v>
      </c>
      <c r="BG1525">
        <v>0</v>
      </c>
      <c r="BH1525">
        <v>1</v>
      </c>
      <c r="BI1525">
        <v>1</v>
      </c>
      <c r="BJ1525">
        <v>1.1000000000000001</v>
      </c>
      <c r="BK1525">
        <v>2</v>
      </c>
      <c r="BL1525">
        <v>59.42</v>
      </c>
      <c r="BM1525">
        <v>8.91</v>
      </c>
      <c r="BN1525">
        <v>68.33</v>
      </c>
      <c r="BO1525">
        <v>68.33</v>
      </c>
      <c r="BQ1525" t="s">
        <v>946</v>
      </c>
      <c r="BR1525" t="s">
        <v>82</v>
      </c>
      <c r="BS1525" t="s">
        <v>500</v>
      </c>
      <c r="BY1525">
        <v>5510</v>
      </c>
      <c r="CC1525" t="s">
        <v>944</v>
      </c>
      <c r="CD1525">
        <v>1682</v>
      </c>
      <c r="CE1525" t="s">
        <v>86</v>
      </c>
      <c r="CI1525">
        <v>1</v>
      </c>
      <c r="CJ1525" t="s">
        <v>500</v>
      </c>
      <c r="CK1525">
        <v>22</v>
      </c>
      <c r="CL1525" t="s">
        <v>87</v>
      </c>
    </row>
    <row r="1526" spans="1:90" x14ac:dyDescent="0.3">
      <c r="A1526" t="s">
        <v>72</v>
      </c>
      <c r="B1526" t="s">
        <v>73</v>
      </c>
      <c r="C1526" t="s">
        <v>74</v>
      </c>
      <c r="E1526" t="str">
        <f>"080069842995"</f>
        <v>080069842995</v>
      </c>
      <c r="F1526" s="3">
        <v>46002</v>
      </c>
      <c r="G1526">
        <v>202609</v>
      </c>
      <c r="H1526" t="s">
        <v>75</v>
      </c>
      <c r="I1526" t="s">
        <v>76</v>
      </c>
      <c r="J1526" t="s">
        <v>77</v>
      </c>
      <c r="K1526" t="s">
        <v>78</v>
      </c>
      <c r="L1526" t="s">
        <v>100</v>
      </c>
      <c r="M1526" t="s">
        <v>101</v>
      </c>
      <c r="N1526" t="s">
        <v>2166</v>
      </c>
      <c r="O1526" t="s">
        <v>89</v>
      </c>
      <c r="P1526" t="str">
        <f>"4170073096                    "</f>
        <v xml:space="preserve">4170073096                    </v>
      </c>
      <c r="Q1526">
        <v>0</v>
      </c>
      <c r="R1526">
        <v>0</v>
      </c>
      <c r="S1526">
        <v>0</v>
      </c>
      <c r="T1526">
        <v>0</v>
      </c>
      <c r="U1526">
        <v>0</v>
      </c>
      <c r="V1526">
        <v>0</v>
      </c>
      <c r="W1526">
        <v>0</v>
      </c>
      <c r="X1526">
        <v>0</v>
      </c>
      <c r="Y1526">
        <v>0</v>
      </c>
      <c r="Z1526">
        <v>0</v>
      </c>
      <c r="AA1526">
        <v>0</v>
      </c>
      <c r="AB1526">
        <v>0</v>
      </c>
      <c r="AC1526">
        <v>0</v>
      </c>
      <c r="AD1526">
        <v>0</v>
      </c>
      <c r="AE1526">
        <v>0</v>
      </c>
      <c r="AF1526">
        <v>0</v>
      </c>
      <c r="AG1526">
        <v>0</v>
      </c>
      <c r="AH1526">
        <v>0</v>
      </c>
      <c r="AI1526">
        <v>0</v>
      </c>
      <c r="AJ1526">
        <v>0</v>
      </c>
      <c r="AK1526">
        <v>0</v>
      </c>
      <c r="AL1526">
        <v>0</v>
      </c>
      <c r="AM1526">
        <v>0</v>
      </c>
      <c r="AN1526">
        <v>0</v>
      </c>
      <c r="AO1526">
        <v>0</v>
      </c>
      <c r="AP1526">
        <v>0</v>
      </c>
      <c r="AQ1526">
        <v>25.52</v>
      </c>
      <c r="AR1526">
        <v>0</v>
      </c>
      <c r="AS1526">
        <v>0</v>
      </c>
      <c r="AT1526">
        <v>0</v>
      </c>
      <c r="AU1526">
        <v>0</v>
      </c>
      <c r="AV1526">
        <v>0</v>
      </c>
      <c r="AW1526">
        <v>0</v>
      </c>
      <c r="AX1526">
        <v>0</v>
      </c>
      <c r="AY1526">
        <v>0</v>
      </c>
      <c r="AZ1526">
        <v>0</v>
      </c>
      <c r="BA1526">
        <v>0</v>
      </c>
      <c r="BB1526">
        <v>0</v>
      </c>
      <c r="BC1526">
        <v>0</v>
      </c>
      <c r="BD1526">
        <v>0</v>
      </c>
      <c r="BE1526">
        <v>0</v>
      </c>
      <c r="BF1526">
        <v>0</v>
      </c>
      <c r="BG1526">
        <v>0</v>
      </c>
      <c r="BH1526">
        <v>1</v>
      </c>
      <c r="BI1526">
        <v>2</v>
      </c>
      <c r="BJ1526">
        <v>1.1000000000000001</v>
      </c>
      <c r="BK1526">
        <v>2</v>
      </c>
      <c r="BL1526">
        <v>76.06</v>
      </c>
      <c r="BM1526">
        <v>11.41</v>
      </c>
      <c r="BN1526">
        <v>87.47</v>
      </c>
      <c r="BO1526">
        <v>87.47</v>
      </c>
      <c r="BQ1526" t="s">
        <v>2167</v>
      </c>
      <c r="BR1526" t="s">
        <v>82</v>
      </c>
      <c r="BS1526" t="s">
        <v>500</v>
      </c>
      <c r="BY1526">
        <v>5510</v>
      </c>
      <c r="CC1526" t="s">
        <v>101</v>
      </c>
      <c r="CD1526">
        <v>4060</v>
      </c>
      <c r="CE1526" t="s">
        <v>86</v>
      </c>
      <c r="CI1526">
        <v>1</v>
      </c>
      <c r="CJ1526" t="s">
        <v>500</v>
      </c>
      <c r="CK1526">
        <v>21</v>
      </c>
      <c r="CL1526" t="s">
        <v>87</v>
      </c>
    </row>
    <row r="1527" spans="1:90" x14ac:dyDescent="0.3">
      <c r="A1527" t="s">
        <v>72</v>
      </c>
      <c r="B1527" t="s">
        <v>73</v>
      </c>
      <c r="C1527" t="s">
        <v>74</v>
      </c>
      <c r="E1527" t="str">
        <f>"080069843061"</f>
        <v>080069843061</v>
      </c>
      <c r="F1527" s="3">
        <v>46002</v>
      </c>
      <c r="G1527">
        <v>202609</v>
      </c>
      <c r="H1527" t="s">
        <v>75</v>
      </c>
      <c r="I1527" t="s">
        <v>76</v>
      </c>
      <c r="J1527" t="s">
        <v>77</v>
      </c>
      <c r="K1527" t="s">
        <v>78</v>
      </c>
      <c r="L1527" t="s">
        <v>208</v>
      </c>
      <c r="M1527" t="s">
        <v>209</v>
      </c>
      <c r="N1527" t="s">
        <v>1756</v>
      </c>
      <c r="O1527" t="s">
        <v>89</v>
      </c>
      <c r="P1527" t="str">
        <f>"4170072925                    "</f>
        <v xml:space="preserve">4170072925                    </v>
      </c>
      <c r="Q1527">
        <v>0</v>
      </c>
      <c r="R1527">
        <v>0</v>
      </c>
      <c r="S1527">
        <v>0</v>
      </c>
      <c r="T1527">
        <v>0</v>
      </c>
      <c r="U1527">
        <v>0</v>
      </c>
      <c r="V1527">
        <v>0</v>
      </c>
      <c r="W1527">
        <v>0</v>
      </c>
      <c r="X1527">
        <v>0</v>
      </c>
      <c r="Y1527">
        <v>0</v>
      </c>
      <c r="Z1527">
        <v>0</v>
      </c>
      <c r="AA1527">
        <v>0</v>
      </c>
      <c r="AB1527">
        <v>0</v>
      </c>
      <c r="AC1527">
        <v>0</v>
      </c>
      <c r="AD1527">
        <v>0</v>
      </c>
      <c r="AE1527">
        <v>0</v>
      </c>
      <c r="AF1527">
        <v>0</v>
      </c>
      <c r="AG1527">
        <v>0</v>
      </c>
      <c r="AH1527">
        <v>0</v>
      </c>
      <c r="AI1527">
        <v>0</v>
      </c>
      <c r="AJ1527">
        <v>0</v>
      </c>
      <c r="AK1527">
        <v>0</v>
      </c>
      <c r="AL1527">
        <v>0</v>
      </c>
      <c r="AM1527">
        <v>0</v>
      </c>
      <c r="AN1527">
        <v>0</v>
      </c>
      <c r="AO1527">
        <v>0</v>
      </c>
      <c r="AP1527">
        <v>0</v>
      </c>
      <c r="AQ1527">
        <v>25.52</v>
      </c>
      <c r="AR1527">
        <v>0</v>
      </c>
      <c r="AS1527">
        <v>0</v>
      </c>
      <c r="AT1527">
        <v>0</v>
      </c>
      <c r="AU1527">
        <v>0</v>
      </c>
      <c r="AV1527">
        <v>0</v>
      </c>
      <c r="AW1527">
        <v>0</v>
      </c>
      <c r="AX1527">
        <v>0</v>
      </c>
      <c r="AY1527">
        <v>0</v>
      </c>
      <c r="AZ1527">
        <v>0</v>
      </c>
      <c r="BA1527">
        <v>0</v>
      </c>
      <c r="BB1527">
        <v>0</v>
      </c>
      <c r="BC1527">
        <v>0</v>
      </c>
      <c r="BD1527">
        <v>0</v>
      </c>
      <c r="BE1527">
        <v>0</v>
      </c>
      <c r="BF1527">
        <v>0</v>
      </c>
      <c r="BG1527">
        <v>0</v>
      </c>
      <c r="BH1527">
        <v>1</v>
      </c>
      <c r="BI1527">
        <v>1</v>
      </c>
      <c r="BJ1527">
        <v>1.1000000000000001</v>
      </c>
      <c r="BK1527">
        <v>1.5</v>
      </c>
      <c r="BL1527">
        <v>76.06</v>
      </c>
      <c r="BM1527">
        <v>11.41</v>
      </c>
      <c r="BN1527">
        <v>87.47</v>
      </c>
      <c r="BO1527">
        <v>87.47</v>
      </c>
      <c r="BQ1527" t="s">
        <v>1757</v>
      </c>
      <c r="BR1527" t="s">
        <v>82</v>
      </c>
      <c r="BS1527" t="s">
        <v>500</v>
      </c>
      <c r="BY1527">
        <v>5510</v>
      </c>
      <c r="CC1527" t="s">
        <v>209</v>
      </c>
      <c r="CD1527" s="5" t="s">
        <v>213</v>
      </c>
      <c r="CE1527" t="s">
        <v>86</v>
      </c>
      <c r="CI1527">
        <v>1</v>
      </c>
      <c r="CJ1527" t="s">
        <v>500</v>
      </c>
      <c r="CK1527">
        <v>21</v>
      </c>
      <c r="CL1527" t="s">
        <v>87</v>
      </c>
    </row>
    <row r="1528" spans="1:90" x14ac:dyDescent="0.3">
      <c r="A1528" t="s">
        <v>72</v>
      </c>
      <c r="B1528" t="s">
        <v>73</v>
      </c>
      <c r="C1528" t="s">
        <v>74</v>
      </c>
      <c r="E1528" t="str">
        <f>"080069843110"</f>
        <v>080069843110</v>
      </c>
      <c r="F1528" s="3">
        <v>46002</v>
      </c>
      <c r="G1528">
        <v>202609</v>
      </c>
      <c r="H1528" t="s">
        <v>75</v>
      </c>
      <c r="I1528" t="s">
        <v>76</v>
      </c>
      <c r="J1528" t="s">
        <v>77</v>
      </c>
      <c r="K1528" t="s">
        <v>78</v>
      </c>
      <c r="L1528" t="s">
        <v>141</v>
      </c>
      <c r="M1528" t="s">
        <v>142</v>
      </c>
      <c r="N1528" t="s">
        <v>868</v>
      </c>
      <c r="O1528" t="s">
        <v>89</v>
      </c>
      <c r="P1528" t="str">
        <f>"4170073073                    "</f>
        <v xml:space="preserve">4170073073                    </v>
      </c>
      <c r="Q1528">
        <v>0</v>
      </c>
      <c r="R1528">
        <v>0</v>
      </c>
      <c r="S1528">
        <v>0</v>
      </c>
      <c r="T1528">
        <v>0</v>
      </c>
      <c r="U1528">
        <v>0</v>
      </c>
      <c r="V1528">
        <v>0</v>
      </c>
      <c r="W1528">
        <v>0</v>
      </c>
      <c r="X1528">
        <v>0</v>
      </c>
      <c r="Y1528">
        <v>0</v>
      </c>
      <c r="Z1528">
        <v>0</v>
      </c>
      <c r="AA1528">
        <v>0</v>
      </c>
      <c r="AB1528">
        <v>0</v>
      </c>
      <c r="AC1528">
        <v>0</v>
      </c>
      <c r="AD1528">
        <v>0</v>
      </c>
      <c r="AE1528">
        <v>0</v>
      </c>
      <c r="AF1528">
        <v>0</v>
      </c>
      <c r="AG1528">
        <v>0</v>
      </c>
      <c r="AH1528">
        <v>0</v>
      </c>
      <c r="AI1528">
        <v>0</v>
      </c>
      <c r="AJ1528">
        <v>0</v>
      </c>
      <c r="AK1528">
        <v>0</v>
      </c>
      <c r="AL1528">
        <v>0</v>
      </c>
      <c r="AM1528">
        <v>0</v>
      </c>
      <c r="AN1528">
        <v>0</v>
      </c>
      <c r="AO1528">
        <v>0</v>
      </c>
      <c r="AP1528">
        <v>0</v>
      </c>
      <c r="AQ1528">
        <v>25.52</v>
      </c>
      <c r="AR1528">
        <v>0</v>
      </c>
      <c r="AS1528">
        <v>0</v>
      </c>
      <c r="AT1528">
        <v>0</v>
      </c>
      <c r="AU1528">
        <v>0</v>
      </c>
      <c r="AV1528">
        <v>0</v>
      </c>
      <c r="AW1528">
        <v>0</v>
      </c>
      <c r="AX1528">
        <v>0</v>
      </c>
      <c r="AY1528">
        <v>0</v>
      </c>
      <c r="AZ1528">
        <v>0</v>
      </c>
      <c r="BA1528">
        <v>0</v>
      </c>
      <c r="BB1528">
        <v>0</v>
      </c>
      <c r="BC1528">
        <v>0</v>
      </c>
      <c r="BD1528">
        <v>0</v>
      </c>
      <c r="BE1528">
        <v>0</v>
      </c>
      <c r="BF1528">
        <v>0</v>
      </c>
      <c r="BG1528">
        <v>0</v>
      </c>
      <c r="BH1528">
        <v>1</v>
      </c>
      <c r="BI1528">
        <v>1</v>
      </c>
      <c r="BJ1528">
        <v>1.1000000000000001</v>
      </c>
      <c r="BK1528">
        <v>1.5</v>
      </c>
      <c r="BL1528">
        <v>76.06</v>
      </c>
      <c r="BM1528">
        <v>11.41</v>
      </c>
      <c r="BN1528">
        <v>87.47</v>
      </c>
      <c r="BO1528">
        <v>87.47</v>
      </c>
      <c r="BQ1528" t="s">
        <v>869</v>
      </c>
      <c r="BR1528" t="s">
        <v>82</v>
      </c>
      <c r="BS1528" t="s">
        <v>500</v>
      </c>
      <c r="BY1528">
        <v>5510</v>
      </c>
      <c r="CC1528" t="s">
        <v>142</v>
      </c>
      <c r="CD1528">
        <v>6001</v>
      </c>
      <c r="CE1528" t="s">
        <v>86</v>
      </c>
      <c r="CI1528">
        <v>1</v>
      </c>
      <c r="CJ1528" t="s">
        <v>500</v>
      </c>
      <c r="CK1528">
        <v>21</v>
      </c>
      <c r="CL1528" t="s">
        <v>87</v>
      </c>
    </row>
    <row r="1529" spans="1:90" x14ac:dyDescent="0.3">
      <c r="A1529" t="s">
        <v>72</v>
      </c>
      <c r="B1529" t="s">
        <v>73</v>
      </c>
      <c r="C1529" t="s">
        <v>74</v>
      </c>
      <c r="E1529" t="str">
        <f>"080069843166"</f>
        <v>080069843166</v>
      </c>
      <c r="F1529" s="3">
        <v>46002</v>
      </c>
      <c r="G1529">
        <v>202609</v>
      </c>
      <c r="H1529" t="s">
        <v>75</v>
      </c>
      <c r="I1529" t="s">
        <v>76</v>
      </c>
      <c r="J1529" t="s">
        <v>77</v>
      </c>
      <c r="K1529" t="s">
        <v>78</v>
      </c>
      <c r="L1529" t="s">
        <v>465</v>
      </c>
      <c r="M1529" t="s">
        <v>466</v>
      </c>
      <c r="N1529" t="s">
        <v>467</v>
      </c>
      <c r="O1529" t="s">
        <v>340</v>
      </c>
      <c r="P1529" t="str">
        <f>"4170072947                    "</f>
        <v xml:space="preserve">4170072947                    </v>
      </c>
      <c r="Q1529">
        <v>0</v>
      </c>
      <c r="R1529">
        <v>0</v>
      </c>
      <c r="S1529">
        <v>0</v>
      </c>
      <c r="T1529">
        <v>0</v>
      </c>
      <c r="U1529">
        <v>0</v>
      </c>
      <c r="V1529">
        <v>0</v>
      </c>
      <c r="W1529">
        <v>0</v>
      </c>
      <c r="X1529">
        <v>0</v>
      </c>
      <c r="Y1529">
        <v>0</v>
      </c>
      <c r="Z1529">
        <v>0</v>
      </c>
      <c r="AA1529">
        <v>0</v>
      </c>
      <c r="AB1529">
        <v>0</v>
      </c>
      <c r="AC1529">
        <v>0</v>
      </c>
      <c r="AD1529">
        <v>0</v>
      </c>
      <c r="AE1529">
        <v>0</v>
      </c>
      <c r="AF1529">
        <v>0</v>
      </c>
      <c r="AG1529">
        <v>0</v>
      </c>
      <c r="AH1529">
        <v>0</v>
      </c>
      <c r="AI1529">
        <v>0</v>
      </c>
      <c r="AJ1529">
        <v>0</v>
      </c>
      <c r="AK1529">
        <v>0</v>
      </c>
      <c r="AL1529">
        <v>0</v>
      </c>
      <c r="AM1529">
        <v>0</v>
      </c>
      <c r="AN1529">
        <v>0</v>
      </c>
      <c r="AO1529">
        <v>0</v>
      </c>
      <c r="AP1529">
        <v>0</v>
      </c>
      <c r="AQ1529">
        <v>19.940000000000001</v>
      </c>
      <c r="AR1529">
        <v>0</v>
      </c>
      <c r="AS1529">
        <v>0</v>
      </c>
      <c r="AT1529">
        <v>0</v>
      </c>
      <c r="AU1529">
        <v>0</v>
      </c>
      <c r="AV1529">
        <v>0</v>
      </c>
      <c r="AW1529">
        <v>0</v>
      </c>
      <c r="AX1529">
        <v>0</v>
      </c>
      <c r="AY1529">
        <v>0</v>
      </c>
      <c r="AZ1529">
        <v>0</v>
      </c>
      <c r="BA1529">
        <v>0</v>
      </c>
      <c r="BB1529">
        <v>0</v>
      </c>
      <c r="BC1529">
        <v>0</v>
      </c>
      <c r="BD1529">
        <v>0</v>
      </c>
      <c r="BE1529">
        <v>0</v>
      </c>
      <c r="BF1529">
        <v>0</v>
      </c>
      <c r="BG1529">
        <v>0</v>
      </c>
      <c r="BH1529">
        <v>1</v>
      </c>
      <c r="BI1529">
        <v>4</v>
      </c>
      <c r="BJ1529">
        <v>2</v>
      </c>
      <c r="BK1529">
        <v>4</v>
      </c>
      <c r="BL1529">
        <v>59.43</v>
      </c>
      <c r="BM1529">
        <v>8.91</v>
      </c>
      <c r="BN1529">
        <v>68.34</v>
      </c>
      <c r="BO1529">
        <v>68.34</v>
      </c>
      <c r="BQ1529" t="s">
        <v>468</v>
      </c>
      <c r="BR1529" t="s">
        <v>82</v>
      </c>
      <c r="BS1529" t="s">
        <v>500</v>
      </c>
      <c r="BY1529">
        <v>9918</v>
      </c>
      <c r="CC1529" t="s">
        <v>466</v>
      </c>
      <c r="CD1529">
        <v>1401</v>
      </c>
      <c r="CE1529" t="s">
        <v>86</v>
      </c>
      <c r="CI1529">
        <v>1</v>
      </c>
      <c r="CJ1529" t="s">
        <v>500</v>
      </c>
      <c r="CK1529">
        <v>32</v>
      </c>
      <c r="CL1529" t="s">
        <v>87</v>
      </c>
    </row>
    <row r="1530" spans="1:90" x14ac:dyDescent="0.3">
      <c r="A1530" t="s">
        <v>72</v>
      </c>
      <c r="B1530" t="s">
        <v>73</v>
      </c>
      <c r="C1530" t="s">
        <v>74</v>
      </c>
      <c r="E1530" t="str">
        <f>"080069843443"</f>
        <v>080069843443</v>
      </c>
      <c r="F1530" s="3">
        <v>46002</v>
      </c>
      <c r="G1530">
        <v>202609</v>
      </c>
      <c r="H1530" t="s">
        <v>75</v>
      </c>
      <c r="I1530" t="s">
        <v>76</v>
      </c>
      <c r="J1530" t="s">
        <v>77</v>
      </c>
      <c r="K1530" t="s">
        <v>78</v>
      </c>
      <c r="L1530" t="s">
        <v>302</v>
      </c>
      <c r="M1530" t="s">
        <v>303</v>
      </c>
      <c r="N1530" t="s">
        <v>769</v>
      </c>
      <c r="O1530" t="s">
        <v>89</v>
      </c>
      <c r="P1530" t="str">
        <f>"4170073011                    "</f>
        <v xml:space="preserve">4170073011                    </v>
      </c>
      <c r="Q1530">
        <v>0</v>
      </c>
      <c r="R1530">
        <v>0</v>
      </c>
      <c r="S1530">
        <v>0</v>
      </c>
      <c r="T1530">
        <v>0</v>
      </c>
      <c r="U1530">
        <v>0</v>
      </c>
      <c r="V1530">
        <v>0</v>
      </c>
      <c r="W1530">
        <v>0</v>
      </c>
      <c r="X1530">
        <v>0</v>
      </c>
      <c r="Y1530">
        <v>0</v>
      </c>
      <c r="Z1530">
        <v>0</v>
      </c>
      <c r="AA1530">
        <v>0</v>
      </c>
      <c r="AB1530">
        <v>0</v>
      </c>
      <c r="AC1530">
        <v>0</v>
      </c>
      <c r="AD1530">
        <v>0</v>
      </c>
      <c r="AE1530">
        <v>0</v>
      </c>
      <c r="AF1530">
        <v>0</v>
      </c>
      <c r="AG1530">
        <v>0</v>
      </c>
      <c r="AH1530">
        <v>0</v>
      </c>
      <c r="AI1530">
        <v>0</v>
      </c>
      <c r="AJ1530">
        <v>0</v>
      </c>
      <c r="AK1530">
        <v>0</v>
      </c>
      <c r="AL1530">
        <v>0</v>
      </c>
      <c r="AM1530">
        <v>0</v>
      </c>
      <c r="AN1530">
        <v>0</v>
      </c>
      <c r="AO1530">
        <v>0</v>
      </c>
      <c r="AP1530">
        <v>0</v>
      </c>
      <c r="AQ1530">
        <v>25.52</v>
      </c>
      <c r="AR1530">
        <v>0</v>
      </c>
      <c r="AS1530">
        <v>0</v>
      </c>
      <c r="AT1530">
        <v>0</v>
      </c>
      <c r="AU1530">
        <v>0</v>
      </c>
      <c r="AV1530">
        <v>0</v>
      </c>
      <c r="AW1530">
        <v>0</v>
      </c>
      <c r="AX1530">
        <v>0</v>
      </c>
      <c r="AY1530">
        <v>0</v>
      </c>
      <c r="AZ1530">
        <v>0</v>
      </c>
      <c r="BA1530">
        <v>0</v>
      </c>
      <c r="BB1530">
        <v>0</v>
      </c>
      <c r="BC1530">
        <v>0</v>
      </c>
      <c r="BD1530">
        <v>0</v>
      </c>
      <c r="BE1530">
        <v>0</v>
      </c>
      <c r="BF1530">
        <v>0</v>
      </c>
      <c r="BG1530">
        <v>0</v>
      </c>
      <c r="BH1530">
        <v>1</v>
      </c>
      <c r="BI1530">
        <v>0.2</v>
      </c>
      <c r="BJ1530">
        <v>1.2</v>
      </c>
      <c r="BK1530">
        <v>1.5</v>
      </c>
      <c r="BL1530">
        <v>76.06</v>
      </c>
      <c r="BM1530">
        <v>11.41</v>
      </c>
      <c r="BN1530">
        <v>87.47</v>
      </c>
      <c r="BO1530">
        <v>87.47</v>
      </c>
      <c r="BQ1530" t="s">
        <v>770</v>
      </c>
      <c r="BR1530" t="s">
        <v>82</v>
      </c>
      <c r="BS1530" t="s">
        <v>500</v>
      </c>
      <c r="BY1530">
        <v>6127.82</v>
      </c>
      <c r="CC1530" t="s">
        <v>303</v>
      </c>
      <c r="CD1530" s="5" t="s">
        <v>350</v>
      </c>
      <c r="CE1530" t="s">
        <v>134</v>
      </c>
      <c r="CI1530">
        <v>1</v>
      </c>
      <c r="CJ1530" t="s">
        <v>500</v>
      </c>
      <c r="CK1530">
        <v>21</v>
      </c>
      <c r="CL1530" t="s">
        <v>87</v>
      </c>
    </row>
    <row r="1531" spans="1:90" x14ac:dyDescent="0.3">
      <c r="A1531" t="s">
        <v>72</v>
      </c>
      <c r="B1531" t="s">
        <v>73</v>
      </c>
      <c r="C1531" t="s">
        <v>74</v>
      </c>
      <c r="E1531" t="str">
        <f>"080069843454"</f>
        <v>080069843454</v>
      </c>
      <c r="F1531" s="3">
        <v>46002</v>
      </c>
      <c r="G1531">
        <v>202609</v>
      </c>
      <c r="H1531" t="s">
        <v>75</v>
      </c>
      <c r="I1531" t="s">
        <v>76</v>
      </c>
      <c r="J1531" t="s">
        <v>77</v>
      </c>
      <c r="K1531" t="s">
        <v>78</v>
      </c>
      <c r="L1531" t="s">
        <v>156</v>
      </c>
      <c r="M1531" t="s">
        <v>157</v>
      </c>
      <c r="N1531" t="s">
        <v>964</v>
      </c>
      <c r="O1531" t="s">
        <v>89</v>
      </c>
      <c r="P1531" t="str">
        <f>"4170073023                    "</f>
        <v xml:space="preserve">4170073023                    </v>
      </c>
      <c r="Q1531">
        <v>0</v>
      </c>
      <c r="R1531">
        <v>0</v>
      </c>
      <c r="S1531">
        <v>0</v>
      </c>
      <c r="T1531">
        <v>0</v>
      </c>
      <c r="U1531">
        <v>0</v>
      </c>
      <c r="V1531">
        <v>0</v>
      </c>
      <c r="W1531">
        <v>0</v>
      </c>
      <c r="X1531">
        <v>0</v>
      </c>
      <c r="Y1531">
        <v>0</v>
      </c>
      <c r="Z1531">
        <v>0</v>
      </c>
      <c r="AA1531">
        <v>0</v>
      </c>
      <c r="AB1531">
        <v>0</v>
      </c>
      <c r="AC1531">
        <v>0</v>
      </c>
      <c r="AD1531">
        <v>0</v>
      </c>
      <c r="AE1531">
        <v>0</v>
      </c>
      <c r="AF1531">
        <v>0</v>
      </c>
      <c r="AG1531">
        <v>0</v>
      </c>
      <c r="AH1531">
        <v>0</v>
      </c>
      <c r="AI1531">
        <v>0</v>
      </c>
      <c r="AJ1531">
        <v>0</v>
      </c>
      <c r="AK1531">
        <v>0</v>
      </c>
      <c r="AL1531">
        <v>0</v>
      </c>
      <c r="AM1531">
        <v>0</v>
      </c>
      <c r="AN1531">
        <v>0</v>
      </c>
      <c r="AO1531">
        <v>0</v>
      </c>
      <c r="AP1531">
        <v>0</v>
      </c>
      <c r="AQ1531">
        <v>25.52</v>
      </c>
      <c r="AR1531">
        <v>0</v>
      </c>
      <c r="AS1531">
        <v>0</v>
      </c>
      <c r="AT1531">
        <v>0</v>
      </c>
      <c r="AU1531">
        <v>0</v>
      </c>
      <c r="AV1531">
        <v>0</v>
      </c>
      <c r="AW1531">
        <v>0</v>
      </c>
      <c r="AX1531">
        <v>0</v>
      </c>
      <c r="AY1531">
        <v>0</v>
      </c>
      <c r="AZ1531">
        <v>0</v>
      </c>
      <c r="BA1531">
        <v>0</v>
      </c>
      <c r="BB1531">
        <v>0</v>
      </c>
      <c r="BC1531">
        <v>0</v>
      </c>
      <c r="BD1531">
        <v>0</v>
      </c>
      <c r="BE1531">
        <v>0</v>
      </c>
      <c r="BF1531">
        <v>0</v>
      </c>
      <c r="BG1531">
        <v>0</v>
      </c>
      <c r="BH1531">
        <v>1</v>
      </c>
      <c r="BI1531">
        <v>2</v>
      </c>
      <c r="BJ1531">
        <v>1.3</v>
      </c>
      <c r="BK1531">
        <v>2</v>
      </c>
      <c r="BL1531">
        <v>76.06</v>
      </c>
      <c r="BM1531">
        <v>11.41</v>
      </c>
      <c r="BN1531">
        <v>87.47</v>
      </c>
      <c r="BO1531">
        <v>87.47</v>
      </c>
      <c r="BQ1531" t="s">
        <v>965</v>
      </c>
      <c r="BR1531" t="s">
        <v>82</v>
      </c>
      <c r="BS1531" t="s">
        <v>500</v>
      </c>
      <c r="BY1531">
        <v>6591</v>
      </c>
      <c r="CC1531" t="s">
        <v>157</v>
      </c>
      <c r="CD1531">
        <v>7500</v>
      </c>
      <c r="CE1531" t="s">
        <v>93</v>
      </c>
      <c r="CI1531">
        <v>1</v>
      </c>
      <c r="CJ1531" t="s">
        <v>500</v>
      </c>
      <c r="CK1531">
        <v>21</v>
      </c>
      <c r="CL1531" t="s">
        <v>87</v>
      </c>
    </row>
    <row r="1532" spans="1:90" x14ac:dyDescent="0.3">
      <c r="A1532" t="s">
        <v>72</v>
      </c>
      <c r="B1532" t="s">
        <v>73</v>
      </c>
      <c r="C1532" t="s">
        <v>74</v>
      </c>
      <c r="E1532" t="str">
        <f>"080069843470"</f>
        <v>080069843470</v>
      </c>
      <c r="F1532" s="3">
        <v>46002</v>
      </c>
      <c r="G1532">
        <v>202609</v>
      </c>
      <c r="H1532" t="s">
        <v>75</v>
      </c>
      <c r="I1532" t="s">
        <v>76</v>
      </c>
      <c r="J1532" t="s">
        <v>77</v>
      </c>
      <c r="K1532" t="s">
        <v>78</v>
      </c>
      <c r="L1532" t="s">
        <v>75</v>
      </c>
      <c r="M1532" t="s">
        <v>76</v>
      </c>
      <c r="N1532" t="s">
        <v>2168</v>
      </c>
      <c r="O1532" t="s">
        <v>89</v>
      </c>
      <c r="P1532" t="str">
        <f>"4170072995                    "</f>
        <v xml:space="preserve">4170072995                    </v>
      </c>
      <c r="Q1532">
        <v>0</v>
      </c>
      <c r="R1532">
        <v>0</v>
      </c>
      <c r="S1532">
        <v>0</v>
      </c>
      <c r="T1532">
        <v>0</v>
      </c>
      <c r="U1532">
        <v>0</v>
      </c>
      <c r="V1532">
        <v>0</v>
      </c>
      <c r="W1532">
        <v>0</v>
      </c>
      <c r="X1532">
        <v>0</v>
      </c>
      <c r="Y1532">
        <v>0</v>
      </c>
      <c r="Z1532">
        <v>0</v>
      </c>
      <c r="AA1532">
        <v>0</v>
      </c>
      <c r="AB1532">
        <v>0</v>
      </c>
      <c r="AC1532">
        <v>0</v>
      </c>
      <c r="AD1532">
        <v>0</v>
      </c>
      <c r="AE1532">
        <v>0</v>
      </c>
      <c r="AF1532">
        <v>0</v>
      </c>
      <c r="AG1532">
        <v>0</v>
      </c>
      <c r="AH1532">
        <v>0</v>
      </c>
      <c r="AI1532">
        <v>0</v>
      </c>
      <c r="AJ1532">
        <v>0</v>
      </c>
      <c r="AK1532">
        <v>0</v>
      </c>
      <c r="AL1532">
        <v>0</v>
      </c>
      <c r="AM1532">
        <v>0</v>
      </c>
      <c r="AN1532">
        <v>0</v>
      </c>
      <c r="AO1532">
        <v>0</v>
      </c>
      <c r="AP1532">
        <v>0</v>
      </c>
      <c r="AQ1532">
        <v>19.940000000000001</v>
      </c>
      <c r="AR1532">
        <v>0</v>
      </c>
      <c r="AS1532">
        <v>0</v>
      </c>
      <c r="AT1532">
        <v>0</v>
      </c>
      <c r="AU1532">
        <v>0</v>
      </c>
      <c r="AV1532">
        <v>0</v>
      </c>
      <c r="AW1532">
        <v>0</v>
      </c>
      <c r="AX1532">
        <v>0</v>
      </c>
      <c r="AY1532">
        <v>0</v>
      </c>
      <c r="AZ1532">
        <v>0</v>
      </c>
      <c r="BA1532">
        <v>0</v>
      </c>
      <c r="BB1532">
        <v>0</v>
      </c>
      <c r="BC1532">
        <v>0</v>
      </c>
      <c r="BD1532">
        <v>0</v>
      </c>
      <c r="BE1532">
        <v>0</v>
      </c>
      <c r="BF1532">
        <v>0</v>
      </c>
      <c r="BG1532">
        <v>0</v>
      </c>
      <c r="BH1532">
        <v>1</v>
      </c>
      <c r="BI1532">
        <v>1</v>
      </c>
      <c r="BJ1532">
        <v>0.2</v>
      </c>
      <c r="BK1532">
        <v>1</v>
      </c>
      <c r="BL1532">
        <v>59.42</v>
      </c>
      <c r="BM1532">
        <v>8.91</v>
      </c>
      <c r="BN1532">
        <v>68.33</v>
      </c>
      <c r="BO1532">
        <v>68.33</v>
      </c>
      <c r="BQ1532" t="s">
        <v>2169</v>
      </c>
      <c r="BR1532" t="s">
        <v>82</v>
      </c>
      <c r="BS1532" t="s">
        <v>500</v>
      </c>
      <c r="BY1532">
        <v>1200</v>
      </c>
      <c r="CC1532" t="s">
        <v>76</v>
      </c>
      <c r="CD1532">
        <v>1619</v>
      </c>
      <c r="CE1532" t="s">
        <v>134</v>
      </c>
      <c r="CI1532">
        <v>1</v>
      </c>
      <c r="CJ1532" t="s">
        <v>500</v>
      </c>
      <c r="CK1532">
        <v>22</v>
      </c>
      <c r="CL1532" t="s">
        <v>87</v>
      </c>
    </row>
    <row r="1533" spans="1:90" x14ac:dyDescent="0.3">
      <c r="A1533" t="s">
        <v>72</v>
      </c>
      <c r="B1533" t="s">
        <v>73</v>
      </c>
      <c r="C1533" t="s">
        <v>74</v>
      </c>
      <c r="E1533" t="str">
        <f>"080069843493"</f>
        <v>080069843493</v>
      </c>
      <c r="F1533" s="3">
        <v>46002</v>
      </c>
      <c r="G1533">
        <v>202609</v>
      </c>
      <c r="H1533" t="s">
        <v>75</v>
      </c>
      <c r="I1533" t="s">
        <v>76</v>
      </c>
      <c r="J1533" t="s">
        <v>77</v>
      </c>
      <c r="K1533" t="s">
        <v>78</v>
      </c>
      <c r="L1533" t="s">
        <v>502</v>
      </c>
      <c r="M1533" t="s">
        <v>503</v>
      </c>
      <c r="N1533" t="s">
        <v>1149</v>
      </c>
      <c r="O1533" t="s">
        <v>89</v>
      </c>
      <c r="P1533" t="str">
        <f>"4170073101                    "</f>
        <v xml:space="preserve">4170073101                    </v>
      </c>
      <c r="Q1533">
        <v>0</v>
      </c>
      <c r="R1533">
        <v>0</v>
      </c>
      <c r="S1533">
        <v>0</v>
      </c>
      <c r="T1533">
        <v>0</v>
      </c>
      <c r="U1533">
        <v>0</v>
      </c>
      <c r="V1533">
        <v>0</v>
      </c>
      <c r="W1533">
        <v>0</v>
      </c>
      <c r="X1533">
        <v>0</v>
      </c>
      <c r="Y1533">
        <v>0</v>
      </c>
      <c r="Z1533">
        <v>0</v>
      </c>
      <c r="AA1533">
        <v>0</v>
      </c>
      <c r="AB1533">
        <v>0</v>
      </c>
      <c r="AC1533">
        <v>0</v>
      </c>
      <c r="AD1533">
        <v>0</v>
      </c>
      <c r="AE1533">
        <v>0</v>
      </c>
      <c r="AF1533">
        <v>0</v>
      </c>
      <c r="AG1533">
        <v>0</v>
      </c>
      <c r="AH1533">
        <v>0</v>
      </c>
      <c r="AI1533">
        <v>0</v>
      </c>
      <c r="AJ1533">
        <v>0</v>
      </c>
      <c r="AK1533">
        <v>0</v>
      </c>
      <c r="AL1533">
        <v>0</v>
      </c>
      <c r="AM1533">
        <v>0</v>
      </c>
      <c r="AN1533">
        <v>0</v>
      </c>
      <c r="AO1533">
        <v>0</v>
      </c>
      <c r="AP1533">
        <v>0</v>
      </c>
      <c r="AQ1533">
        <v>19.940000000000001</v>
      </c>
      <c r="AR1533">
        <v>0</v>
      </c>
      <c r="AS1533">
        <v>0</v>
      </c>
      <c r="AT1533">
        <v>0</v>
      </c>
      <c r="AU1533">
        <v>0</v>
      </c>
      <c r="AV1533">
        <v>0</v>
      </c>
      <c r="AW1533">
        <v>0</v>
      </c>
      <c r="AX1533">
        <v>0</v>
      </c>
      <c r="AY1533">
        <v>0</v>
      </c>
      <c r="AZ1533">
        <v>0</v>
      </c>
      <c r="BA1533">
        <v>0</v>
      </c>
      <c r="BB1533">
        <v>0</v>
      </c>
      <c r="BC1533">
        <v>0</v>
      </c>
      <c r="BD1533">
        <v>0</v>
      </c>
      <c r="BE1533">
        <v>0</v>
      </c>
      <c r="BF1533">
        <v>0</v>
      </c>
      <c r="BG1533">
        <v>0</v>
      </c>
      <c r="BH1533">
        <v>1</v>
      </c>
      <c r="BI1533">
        <v>1</v>
      </c>
      <c r="BJ1533">
        <v>0.2</v>
      </c>
      <c r="BK1533">
        <v>1</v>
      </c>
      <c r="BL1533">
        <v>59.42</v>
      </c>
      <c r="BM1533">
        <v>8.91</v>
      </c>
      <c r="BN1533">
        <v>68.33</v>
      </c>
      <c r="BO1533">
        <v>68.33</v>
      </c>
      <c r="BQ1533" t="s">
        <v>1150</v>
      </c>
      <c r="BR1533" t="s">
        <v>82</v>
      </c>
      <c r="BS1533" t="s">
        <v>500</v>
      </c>
      <c r="BY1533">
        <v>1200</v>
      </c>
      <c r="CC1533" t="s">
        <v>503</v>
      </c>
      <c r="CD1533">
        <v>1559</v>
      </c>
      <c r="CE1533" t="s">
        <v>134</v>
      </c>
      <c r="CI1533">
        <v>1</v>
      </c>
      <c r="CJ1533" t="s">
        <v>500</v>
      </c>
      <c r="CK1533">
        <v>22</v>
      </c>
      <c r="CL1533" t="s">
        <v>87</v>
      </c>
    </row>
    <row r="1534" spans="1:90" x14ac:dyDescent="0.3">
      <c r="A1534" t="s">
        <v>72</v>
      </c>
      <c r="B1534" t="s">
        <v>73</v>
      </c>
      <c r="C1534" t="s">
        <v>74</v>
      </c>
      <c r="E1534" t="str">
        <f>"080069843499"</f>
        <v>080069843499</v>
      </c>
      <c r="F1534" s="3">
        <v>46002</v>
      </c>
      <c r="G1534">
        <v>202609</v>
      </c>
      <c r="H1534" t="s">
        <v>75</v>
      </c>
      <c r="I1534" t="s">
        <v>76</v>
      </c>
      <c r="J1534" t="s">
        <v>77</v>
      </c>
      <c r="K1534" t="s">
        <v>78</v>
      </c>
      <c r="L1534" t="s">
        <v>295</v>
      </c>
      <c r="M1534" t="s">
        <v>296</v>
      </c>
      <c r="N1534" t="s">
        <v>2170</v>
      </c>
      <c r="O1534" t="s">
        <v>89</v>
      </c>
      <c r="P1534" t="str">
        <f>"4170072948                    "</f>
        <v xml:space="preserve">4170072948                    </v>
      </c>
      <c r="Q1534">
        <v>0</v>
      </c>
      <c r="R1534">
        <v>0</v>
      </c>
      <c r="S1534">
        <v>0</v>
      </c>
      <c r="T1534">
        <v>0</v>
      </c>
      <c r="U1534">
        <v>0</v>
      </c>
      <c r="V1534">
        <v>0</v>
      </c>
      <c r="W1534">
        <v>0</v>
      </c>
      <c r="X1534">
        <v>0</v>
      </c>
      <c r="Y1534">
        <v>0</v>
      </c>
      <c r="Z1534">
        <v>0</v>
      </c>
      <c r="AA1534">
        <v>0</v>
      </c>
      <c r="AB1534">
        <v>0</v>
      </c>
      <c r="AC1534">
        <v>0</v>
      </c>
      <c r="AD1534">
        <v>0</v>
      </c>
      <c r="AE1534">
        <v>0</v>
      </c>
      <c r="AF1534">
        <v>0</v>
      </c>
      <c r="AG1534">
        <v>0</v>
      </c>
      <c r="AH1534">
        <v>0</v>
      </c>
      <c r="AI1534">
        <v>0</v>
      </c>
      <c r="AJ1534">
        <v>0</v>
      </c>
      <c r="AK1534">
        <v>0</v>
      </c>
      <c r="AL1534">
        <v>0</v>
      </c>
      <c r="AM1534">
        <v>0</v>
      </c>
      <c r="AN1534">
        <v>0</v>
      </c>
      <c r="AO1534">
        <v>0</v>
      </c>
      <c r="AP1534">
        <v>0</v>
      </c>
      <c r="AQ1534">
        <v>19.940000000000001</v>
      </c>
      <c r="AR1534">
        <v>0</v>
      </c>
      <c r="AS1534">
        <v>0</v>
      </c>
      <c r="AT1534">
        <v>0</v>
      </c>
      <c r="AU1534">
        <v>0</v>
      </c>
      <c r="AV1534">
        <v>0</v>
      </c>
      <c r="AW1534">
        <v>0</v>
      </c>
      <c r="AX1534">
        <v>0</v>
      </c>
      <c r="AY1534">
        <v>0</v>
      </c>
      <c r="AZ1534">
        <v>0</v>
      </c>
      <c r="BA1534">
        <v>0</v>
      </c>
      <c r="BB1534">
        <v>0</v>
      </c>
      <c r="BC1534">
        <v>0</v>
      </c>
      <c r="BD1534">
        <v>0</v>
      </c>
      <c r="BE1534">
        <v>0</v>
      </c>
      <c r="BF1534">
        <v>0</v>
      </c>
      <c r="BG1534">
        <v>0</v>
      </c>
      <c r="BH1534">
        <v>1</v>
      </c>
      <c r="BI1534">
        <v>4</v>
      </c>
      <c r="BJ1534">
        <v>1.8</v>
      </c>
      <c r="BK1534">
        <v>4</v>
      </c>
      <c r="BL1534">
        <v>59.42</v>
      </c>
      <c r="BM1534">
        <v>8.91</v>
      </c>
      <c r="BN1534">
        <v>68.33</v>
      </c>
      <c r="BO1534">
        <v>68.33</v>
      </c>
      <c r="BQ1534" t="s">
        <v>2171</v>
      </c>
      <c r="BR1534" t="s">
        <v>82</v>
      </c>
      <c r="BS1534" t="s">
        <v>500</v>
      </c>
      <c r="BY1534">
        <v>8775</v>
      </c>
      <c r="CC1534" t="s">
        <v>296</v>
      </c>
      <c r="CD1534">
        <v>1510</v>
      </c>
      <c r="CE1534" t="s">
        <v>93</v>
      </c>
      <c r="CI1534">
        <v>1</v>
      </c>
      <c r="CJ1534" t="s">
        <v>500</v>
      </c>
      <c r="CK1534">
        <v>22</v>
      </c>
      <c r="CL1534" t="s">
        <v>87</v>
      </c>
    </row>
    <row r="1535" spans="1:90" x14ac:dyDescent="0.3">
      <c r="A1535" t="s">
        <v>72</v>
      </c>
      <c r="B1535" t="s">
        <v>73</v>
      </c>
      <c r="C1535" t="s">
        <v>74</v>
      </c>
      <c r="E1535" t="str">
        <f>"080069843510"</f>
        <v>080069843510</v>
      </c>
      <c r="F1535" s="3">
        <v>46002</v>
      </c>
      <c r="G1535">
        <v>202609</v>
      </c>
      <c r="H1535" t="s">
        <v>75</v>
      </c>
      <c r="I1535" t="s">
        <v>76</v>
      </c>
      <c r="J1535" t="s">
        <v>77</v>
      </c>
      <c r="K1535" t="s">
        <v>78</v>
      </c>
      <c r="L1535" t="s">
        <v>156</v>
      </c>
      <c r="M1535" t="s">
        <v>157</v>
      </c>
      <c r="N1535" t="s">
        <v>470</v>
      </c>
      <c r="O1535" t="s">
        <v>89</v>
      </c>
      <c r="P1535" t="str">
        <f>"4170073053                    "</f>
        <v xml:space="preserve">4170073053                    </v>
      </c>
      <c r="Q1535">
        <v>0</v>
      </c>
      <c r="R1535">
        <v>0</v>
      </c>
      <c r="S1535">
        <v>0</v>
      </c>
      <c r="T1535">
        <v>0</v>
      </c>
      <c r="U1535">
        <v>0</v>
      </c>
      <c r="V1535">
        <v>0</v>
      </c>
      <c r="W1535">
        <v>0</v>
      </c>
      <c r="X1535">
        <v>0</v>
      </c>
      <c r="Y1535">
        <v>0</v>
      </c>
      <c r="Z1535">
        <v>0</v>
      </c>
      <c r="AA1535">
        <v>0</v>
      </c>
      <c r="AB1535">
        <v>0</v>
      </c>
      <c r="AC1535">
        <v>0</v>
      </c>
      <c r="AD1535">
        <v>0</v>
      </c>
      <c r="AE1535">
        <v>0</v>
      </c>
      <c r="AF1535">
        <v>0</v>
      </c>
      <c r="AG1535">
        <v>0</v>
      </c>
      <c r="AH1535">
        <v>0</v>
      </c>
      <c r="AI1535">
        <v>0</v>
      </c>
      <c r="AJ1535">
        <v>0</v>
      </c>
      <c r="AK1535">
        <v>0</v>
      </c>
      <c r="AL1535">
        <v>0</v>
      </c>
      <c r="AM1535">
        <v>0</v>
      </c>
      <c r="AN1535">
        <v>0</v>
      </c>
      <c r="AO1535">
        <v>0</v>
      </c>
      <c r="AP1535">
        <v>0</v>
      </c>
      <c r="AQ1535">
        <v>25.52</v>
      </c>
      <c r="AR1535">
        <v>0</v>
      </c>
      <c r="AS1535">
        <v>0</v>
      </c>
      <c r="AT1535">
        <v>0</v>
      </c>
      <c r="AU1535">
        <v>0</v>
      </c>
      <c r="AV1535">
        <v>0</v>
      </c>
      <c r="AW1535">
        <v>0</v>
      </c>
      <c r="AX1535">
        <v>0</v>
      </c>
      <c r="AY1535">
        <v>0</v>
      </c>
      <c r="AZ1535">
        <v>0</v>
      </c>
      <c r="BA1535">
        <v>0</v>
      </c>
      <c r="BB1535">
        <v>0</v>
      </c>
      <c r="BC1535">
        <v>0</v>
      </c>
      <c r="BD1535">
        <v>0</v>
      </c>
      <c r="BE1535">
        <v>0</v>
      </c>
      <c r="BF1535">
        <v>0</v>
      </c>
      <c r="BG1535">
        <v>0</v>
      </c>
      <c r="BH1535">
        <v>1</v>
      </c>
      <c r="BI1535">
        <v>1</v>
      </c>
      <c r="BJ1535">
        <v>0.2</v>
      </c>
      <c r="BK1535">
        <v>1</v>
      </c>
      <c r="BL1535">
        <v>76.06</v>
      </c>
      <c r="BM1535">
        <v>11.41</v>
      </c>
      <c r="BN1535">
        <v>87.47</v>
      </c>
      <c r="BO1535">
        <v>87.47</v>
      </c>
      <c r="BQ1535" t="s">
        <v>471</v>
      </c>
      <c r="BR1535" t="s">
        <v>82</v>
      </c>
      <c r="BS1535" t="s">
        <v>500</v>
      </c>
      <c r="BY1535">
        <v>1200</v>
      </c>
      <c r="CC1535" t="s">
        <v>157</v>
      </c>
      <c r="CD1535">
        <v>7480</v>
      </c>
      <c r="CE1535" t="s">
        <v>134</v>
      </c>
      <c r="CI1535">
        <v>1</v>
      </c>
      <c r="CJ1535" t="s">
        <v>500</v>
      </c>
      <c r="CK1535">
        <v>21</v>
      </c>
      <c r="CL1535" t="s">
        <v>87</v>
      </c>
    </row>
    <row r="1536" spans="1:90" x14ac:dyDescent="0.3">
      <c r="A1536" t="s">
        <v>72</v>
      </c>
      <c r="B1536" t="s">
        <v>73</v>
      </c>
      <c r="C1536" t="s">
        <v>74</v>
      </c>
      <c r="E1536" t="str">
        <f>"080069843527"</f>
        <v>080069843527</v>
      </c>
      <c r="F1536" s="3">
        <v>46002</v>
      </c>
      <c r="G1536">
        <v>202609</v>
      </c>
      <c r="H1536" t="s">
        <v>75</v>
      </c>
      <c r="I1536" t="s">
        <v>76</v>
      </c>
      <c r="J1536" t="s">
        <v>77</v>
      </c>
      <c r="K1536" t="s">
        <v>78</v>
      </c>
      <c r="L1536" t="s">
        <v>302</v>
      </c>
      <c r="M1536" t="s">
        <v>303</v>
      </c>
      <c r="N1536" t="s">
        <v>425</v>
      </c>
      <c r="O1536" t="s">
        <v>80</v>
      </c>
      <c r="P1536" t="str">
        <f>"4170072950                    "</f>
        <v xml:space="preserve">4170072950                    </v>
      </c>
      <c r="Q1536">
        <v>0</v>
      </c>
      <c r="R1536">
        <v>0</v>
      </c>
      <c r="S1536">
        <v>0</v>
      </c>
      <c r="T1536">
        <v>0</v>
      </c>
      <c r="U1536">
        <v>0</v>
      </c>
      <c r="V1536">
        <v>0</v>
      </c>
      <c r="W1536">
        <v>0</v>
      </c>
      <c r="X1536">
        <v>0</v>
      </c>
      <c r="Y1536">
        <v>0</v>
      </c>
      <c r="Z1536">
        <v>0</v>
      </c>
      <c r="AA1536">
        <v>0</v>
      </c>
      <c r="AB1536">
        <v>0</v>
      </c>
      <c r="AC1536">
        <v>0</v>
      </c>
      <c r="AD1536">
        <v>0</v>
      </c>
      <c r="AE1536">
        <v>0</v>
      </c>
      <c r="AF1536">
        <v>0</v>
      </c>
      <c r="AG1536">
        <v>0</v>
      </c>
      <c r="AH1536">
        <v>0</v>
      </c>
      <c r="AI1536">
        <v>0</v>
      </c>
      <c r="AJ1536">
        <v>0</v>
      </c>
      <c r="AK1536">
        <v>0</v>
      </c>
      <c r="AL1536">
        <v>0</v>
      </c>
      <c r="AM1536">
        <v>0</v>
      </c>
      <c r="AN1536">
        <v>0</v>
      </c>
      <c r="AO1536">
        <v>0</v>
      </c>
      <c r="AP1536">
        <v>0</v>
      </c>
      <c r="AQ1536">
        <v>49.36</v>
      </c>
      <c r="AR1536">
        <v>0</v>
      </c>
      <c r="AS1536">
        <v>0</v>
      </c>
      <c r="AT1536">
        <v>0</v>
      </c>
      <c r="AU1536">
        <v>0</v>
      </c>
      <c r="AV1536">
        <v>0</v>
      </c>
      <c r="AW1536">
        <v>0</v>
      </c>
      <c r="AX1536">
        <v>0</v>
      </c>
      <c r="AY1536">
        <v>0</v>
      </c>
      <c r="AZ1536">
        <v>0</v>
      </c>
      <c r="BA1536">
        <v>0</v>
      </c>
      <c r="BB1536">
        <v>0</v>
      </c>
      <c r="BC1536">
        <v>0</v>
      </c>
      <c r="BD1536">
        <v>0</v>
      </c>
      <c r="BE1536">
        <v>0</v>
      </c>
      <c r="BF1536">
        <v>0</v>
      </c>
      <c r="BG1536">
        <v>0</v>
      </c>
      <c r="BH1536">
        <v>1</v>
      </c>
      <c r="BI1536">
        <v>9</v>
      </c>
      <c r="BJ1536">
        <v>4.0999999999999996</v>
      </c>
      <c r="BK1536">
        <v>9</v>
      </c>
      <c r="BL1536">
        <v>153.19999999999999</v>
      </c>
      <c r="BM1536">
        <v>22.98</v>
      </c>
      <c r="BN1536">
        <v>176.18</v>
      </c>
      <c r="BO1536">
        <v>176.18</v>
      </c>
      <c r="BQ1536" t="s">
        <v>426</v>
      </c>
      <c r="BR1536" t="s">
        <v>82</v>
      </c>
      <c r="BS1536" t="s">
        <v>500</v>
      </c>
      <c r="BY1536">
        <v>20358</v>
      </c>
      <c r="CC1536" t="s">
        <v>303</v>
      </c>
      <c r="CD1536" s="5" t="s">
        <v>350</v>
      </c>
      <c r="CE1536" t="s">
        <v>86</v>
      </c>
      <c r="CI1536">
        <v>1</v>
      </c>
      <c r="CJ1536" t="s">
        <v>500</v>
      </c>
      <c r="CK1536">
        <v>41</v>
      </c>
      <c r="CL1536" t="s">
        <v>87</v>
      </c>
    </row>
    <row r="1537" spans="1:90" x14ac:dyDescent="0.3">
      <c r="A1537" t="s">
        <v>72</v>
      </c>
      <c r="B1537" t="s">
        <v>73</v>
      </c>
      <c r="C1537" t="s">
        <v>74</v>
      </c>
      <c r="E1537" t="str">
        <f>"080069843621"</f>
        <v>080069843621</v>
      </c>
      <c r="F1537" s="3">
        <v>46002</v>
      </c>
      <c r="G1537">
        <v>202609</v>
      </c>
      <c r="H1537" t="s">
        <v>75</v>
      </c>
      <c r="I1537" t="s">
        <v>76</v>
      </c>
      <c r="J1537" t="s">
        <v>77</v>
      </c>
      <c r="K1537" t="s">
        <v>78</v>
      </c>
      <c r="L1537" t="s">
        <v>562</v>
      </c>
      <c r="M1537" t="s">
        <v>563</v>
      </c>
      <c r="N1537" t="s">
        <v>564</v>
      </c>
      <c r="O1537" t="s">
        <v>80</v>
      </c>
      <c r="P1537" t="str">
        <f>"4170072980                    "</f>
        <v xml:space="preserve">4170072980                    </v>
      </c>
      <c r="Q1537">
        <v>0</v>
      </c>
      <c r="R1537">
        <v>0</v>
      </c>
      <c r="S1537">
        <v>0</v>
      </c>
      <c r="T1537">
        <v>0</v>
      </c>
      <c r="U1537">
        <v>0</v>
      </c>
      <c r="V1537">
        <v>0</v>
      </c>
      <c r="W1537">
        <v>0</v>
      </c>
      <c r="X1537">
        <v>0</v>
      </c>
      <c r="Y1537">
        <v>0</v>
      </c>
      <c r="Z1537">
        <v>0</v>
      </c>
      <c r="AA1537">
        <v>0</v>
      </c>
      <c r="AB1537">
        <v>0</v>
      </c>
      <c r="AC1537">
        <v>0</v>
      </c>
      <c r="AD1537">
        <v>0</v>
      </c>
      <c r="AE1537">
        <v>0</v>
      </c>
      <c r="AF1537">
        <v>0</v>
      </c>
      <c r="AG1537">
        <v>0</v>
      </c>
      <c r="AH1537">
        <v>0</v>
      </c>
      <c r="AI1537">
        <v>0</v>
      </c>
      <c r="AJ1537">
        <v>0</v>
      </c>
      <c r="AK1537">
        <v>0</v>
      </c>
      <c r="AL1537">
        <v>0</v>
      </c>
      <c r="AM1537">
        <v>0</v>
      </c>
      <c r="AN1537">
        <v>0</v>
      </c>
      <c r="AO1537">
        <v>0</v>
      </c>
      <c r="AP1537">
        <v>0</v>
      </c>
      <c r="AQ1537">
        <v>124.29</v>
      </c>
      <c r="AR1537">
        <v>0</v>
      </c>
      <c r="AS1537">
        <v>0</v>
      </c>
      <c r="AT1537">
        <v>0</v>
      </c>
      <c r="AU1537">
        <v>0</v>
      </c>
      <c r="AV1537">
        <v>0</v>
      </c>
      <c r="AW1537">
        <v>0</v>
      </c>
      <c r="AX1537">
        <v>0</v>
      </c>
      <c r="AY1537">
        <v>0</v>
      </c>
      <c r="AZ1537">
        <v>0</v>
      </c>
      <c r="BA1537">
        <v>0</v>
      </c>
      <c r="BB1537">
        <v>0</v>
      </c>
      <c r="BC1537">
        <v>0</v>
      </c>
      <c r="BD1537">
        <v>0</v>
      </c>
      <c r="BE1537">
        <v>0</v>
      </c>
      <c r="BF1537">
        <v>0</v>
      </c>
      <c r="BG1537">
        <v>0</v>
      </c>
      <c r="BH1537">
        <v>2</v>
      </c>
      <c r="BI1537">
        <v>28</v>
      </c>
      <c r="BJ1537">
        <v>63.2</v>
      </c>
      <c r="BK1537">
        <v>64</v>
      </c>
      <c r="BL1537">
        <v>376.51</v>
      </c>
      <c r="BM1537">
        <v>56.48</v>
      </c>
      <c r="BN1537">
        <v>432.99</v>
      </c>
      <c r="BO1537">
        <v>432.99</v>
      </c>
      <c r="BQ1537" t="s">
        <v>565</v>
      </c>
      <c r="BR1537" t="s">
        <v>82</v>
      </c>
      <c r="BS1537" t="s">
        <v>500</v>
      </c>
      <c r="BY1537">
        <v>315840</v>
      </c>
      <c r="CC1537" t="s">
        <v>563</v>
      </c>
      <c r="CD1537">
        <v>1779</v>
      </c>
      <c r="CE1537" t="s">
        <v>86</v>
      </c>
      <c r="CI1537">
        <v>1</v>
      </c>
      <c r="CJ1537" t="s">
        <v>500</v>
      </c>
      <c r="CK1537">
        <v>44</v>
      </c>
      <c r="CL1537" t="s">
        <v>87</v>
      </c>
    </row>
    <row r="1538" spans="1:90" x14ac:dyDescent="0.3">
      <c r="A1538" t="s">
        <v>72</v>
      </c>
      <c r="B1538" t="s">
        <v>73</v>
      </c>
      <c r="C1538" t="s">
        <v>74</v>
      </c>
      <c r="E1538" t="str">
        <f>"080069843745"</f>
        <v>080069843745</v>
      </c>
      <c r="F1538" s="3">
        <v>46002</v>
      </c>
      <c r="G1538">
        <v>202609</v>
      </c>
      <c r="H1538" t="s">
        <v>75</v>
      </c>
      <c r="I1538" t="s">
        <v>76</v>
      </c>
      <c r="J1538" t="s">
        <v>77</v>
      </c>
      <c r="K1538" t="s">
        <v>78</v>
      </c>
      <c r="L1538" t="s">
        <v>351</v>
      </c>
      <c r="M1538" t="s">
        <v>352</v>
      </c>
      <c r="N1538" t="s">
        <v>353</v>
      </c>
      <c r="O1538" t="s">
        <v>89</v>
      </c>
      <c r="P1538" t="str">
        <f>"4170073037                    "</f>
        <v xml:space="preserve">4170073037                    </v>
      </c>
      <c r="Q1538">
        <v>0</v>
      </c>
      <c r="R1538">
        <v>0</v>
      </c>
      <c r="S1538">
        <v>0</v>
      </c>
      <c r="T1538">
        <v>0</v>
      </c>
      <c r="U1538">
        <v>0</v>
      </c>
      <c r="V1538">
        <v>0</v>
      </c>
      <c r="W1538">
        <v>0</v>
      </c>
      <c r="X1538">
        <v>0</v>
      </c>
      <c r="Y1538">
        <v>0</v>
      </c>
      <c r="Z1538">
        <v>0</v>
      </c>
      <c r="AA1538">
        <v>0</v>
      </c>
      <c r="AB1538">
        <v>0</v>
      </c>
      <c r="AC1538">
        <v>0</v>
      </c>
      <c r="AD1538">
        <v>0</v>
      </c>
      <c r="AE1538">
        <v>0</v>
      </c>
      <c r="AF1538">
        <v>0</v>
      </c>
      <c r="AG1538">
        <v>0</v>
      </c>
      <c r="AH1538">
        <v>0</v>
      </c>
      <c r="AI1538">
        <v>0</v>
      </c>
      <c r="AJ1538">
        <v>0</v>
      </c>
      <c r="AK1538">
        <v>0</v>
      </c>
      <c r="AL1538">
        <v>0</v>
      </c>
      <c r="AM1538">
        <v>0</v>
      </c>
      <c r="AN1538">
        <v>0</v>
      </c>
      <c r="AO1538">
        <v>0</v>
      </c>
      <c r="AP1538">
        <v>0</v>
      </c>
      <c r="AQ1538">
        <v>35.9</v>
      </c>
      <c r="AR1538">
        <v>0</v>
      </c>
      <c r="AS1538">
        <v>0</v>
      </c>
      <c r="AT1538">
        <v>0</v>
      </c>
      <c r="AU1538">
        <v>0</v>
      </c>
      <c r="AV1538">
        <v>0</v>
      </c>
      <c r="AW1538">
        <v>0</v>
      </c>
      <c r="AX1538">
        <v>0</v>
      </c>
      <c r="AY1538">
        <v>0</v>
      </c>
      <c r="AZ1538">
        <v>0</v>
      </c>
      <c r="BA1538">
        <v>0</v>
      </c>
      <c r="BB1538">
        <v>0</v>
      </c>
      <c r="BC1538">
        <v>0</v>
      </c>
      <c r="BD1538">
        <v>0</v>
      </c>
      <c r="BE1538">
        <v>0</v>
      </c>
      <c r="BF1538">
        <v>0</v>
      </c>
      <c r="BG1538">
        <v>0</v>
      </c>
      <c r="BH1538">
        <v>1</v>
      </c>
      <c r="BI1538">
        <v>1</v>
      </c>
      <c r="BJ1538">
        <v>0.2</v>
      </c>
      <c r="BK1538">
        <v>1</v>
      </c>
      <c r="BL1538">
        <v>106.98</v>
      </c>
      <c r="BM1538">
        <v>16.05</v>
      </c>
      <c r="BN1538">
        <v>123.03</v>
      </c>
      <c r="BO1538">
        <v>123.03</v>
      </c>
      <c r="BQ1538" t="s">
        <v>354</v>
      </c>
      <c r="BR1538" t="s">
        <v>82</v>
      </c>
      <c r="BS1538" t="s">
        <v>500</v>
      </c>
      <c r="BY1538">
        <v>1200</v>
      </c>
      <c r="CC1538" t="s">
        <v>352</v>
      </c>
      <c r="CD1538">
        <v>1438</v>
      </c>
      <c r="CE1538" t="s">
        <v>134</v>
      </c>
      <c r="CI1538">
        <v>1</v>
      </c>
      <c r="CJ1538" t="s">
        <v>500</v>
      </c>
      <c r="CK1538">
        <v>24</v>
      </c>
      <c r="CL1538" t="s">
        <v>87</v>
      </c>
    </row>
    <row r="1539" spans="1:90" x14ac:dyDescent="0.3">
      <c r="A1539" t="s">
        <v>72</v>
      </c>
      <c r="B1539" t="s">
        <v>73</v>
      </c>
      <c r="C1539" t="s">
        <v>74</v>
      </c>
      <c r="E1539" t="str">
        <f>"080069843794"</f>
        <v>080069843794</v>
      </c>
      <c r="F1539" s="3">
        <v>46002</v>
      </c>
      <c r="G1539">
        <v>202609</v>
      </c>
      <c r="H1539" t="s">
        <v>75</v>
      </c>
      <c r="I1539" t="s">
        <v>76</v>
      </c>
      <c r="J1539" t="s">
        <v>77</v>
      </c>
      <c r="K1539" t="s">
        <v>78</v>
      </c>
      <c r="L1539" t="s">
        <v>100</v>
      </c>
      <c r="M1539" t="s">
        <v>101</v>
      </c>
      <c r="N1539" t="s">
        <v>1323</v>
      </c>
      <c r="O1539" t="s">
        <v>89</v>
      </c>
      <c r="P1539" t="str">
        <f>"4170073012                    "</f>
        <v xml:space="preserve">4170073012                    </v>
      </c>
      <c r="Q1539">
        <v>0</v>
      </c>
      <c r="R1539">
        <v>0</v>
      </c>
      <c r="S1539">
        <v>0</v>
      </c>
      <c r="T1539">
        <v>0</v>
      </c>
      <c r="U1539">
        <v>0</v>
      </c>
      <c r="V1539">
        <v>0</v>
      </c>
      <c r="W1539">
        <v>0</v>
      </c>
      <c r="X1539">
        <v>0</v>
      </c>
      <c r="Y1539">
        <v>0</v>
      </c>
      <c r="Z1539">
        <v>0</v>
      </c>
      <c r="AA1539">
        <v>0</v>
      </c>
      <c r="AB1539">
        <v>0</v>
      </c>
      <c r="AC1539">
        <v>0</v>
      </c>
      <c r="AD1539">
        <v>0</v>
      </c>
      <c r="AE1539">
        <v>0</v>
      </c>
      <c r="AF1539">
        <v>0</v>
      </c>
      <c r="AG1539">
        <v>0</v>
      </c>
      <c r="AH1539">
        <v>0</v>
      </c>
      <c r="AI1539">
        <v>0</v>
      </c>
      <c r="AJ1539">
        <v>0</v>
      </c>
      <c r="AK1539">
        <v>0</v>
      </c>
      <c r="AL1539">
        <v>0</v>
      </c>
      <c r="AM1539">
        <v>0</v>
      </c>
      <c r="AN1539">
        <v>0</v>
      </c>
      <c r="AO1539">
        <v>0</v>
      </c>
      <c r="AP1539">
        <v>0</v>
      </c>
      <c r="AQ1539">
        <v>25.52</v>
      </c>
      <c r="AR1539">
        <v>0</v>
      </c>
      <c r="AS1539">
        <v>0</v>
      </c>
      <c r="AT1539">
        <v>0</v>
      </c>
      <c r="AU1539">
        <v>0</v>
      </c>
      <c r="AV1539">
        <v>0</v>
      </c>
      <c r="AW1539">
        <v>0</v>
      </c>
      <c r="AX1539">
        <v>0</v>
      </c>
      <c r="AY1539">
        <v>0</v>
      </c>
      <c r="AZ1539">
        <v>0</v>
      </c>
      <c r="BA1539">
        <v>0</v>
      </c>
      <c r="BB1539">
        <v>0</v>
      </c>
      <c r="BC1539">
        <v>0</v>
      </c>
      <c r="BD1539">
        <v>0</v>
      </c>
      <c r="BE1539">
        <v>0</v>
      </c>
      <c r="BF1539">
        <v>0</v>
      </c>
      <c r="BG1539">
        <v>0</v>
      </c>
      <c r="BH1539">
        <v>1</v>
      </c>
      <c r="BI1539">
        <v>1</v>
      </c>
      <c r="BJ1539">
        <v>0.2</v>
      </c>
      <c r="BK1539">
        <v>1</v>
      </c>
      <c r="BL1539">
        <v>76.06</v>
      </c>
      <c r="BM1539">
        <v>11.41</v>
      </c>
      <c r="BN1539">
        <v>87.47</v>
      </c>
      <c r="BO1539">
        <v>87.47</v>
      </c>
      <c r="BQ1539" t="s">
        <v>1324</v>
      </c>
      <c r="BR1539" t="s">
        <v>82</v>
      </c>
      <c r="BS1539" t="s">
        <v>500</v>
      </c>
      <c r="BY1539">
        <v>1200</v>
      </c>
      <c r="CC1539" t="s">
        <v>101</v>
      </c>
      <c r="CD1539">
        <v>4000</v>
      </c>
      <c r="CE1539" t="s">
        <v>134</v>
      </c>
      <c r="CI1539">
        <v>1</v>
      </c>
      <c r="CJ1539" t="s">
        <v>500</v>
      </c>
      <c r="CK1539">
        <v>21</v>
      </c>
      <c r="CL1539" t="s">
        <v>87</v>
      </c>
    </row>
    <row r="1540" spans="1:90" x14ac:dyDescent="0.3">
      <c r="A1540" t="s">
        <v>72</v>
      </c>
      <c r="B1540" t="s">
        <v>73</v>
      </c>
      <c r="C1540" t="s">
        <v>74</v>
      </c>
      <c r="E1540" t="str">
        <f>"080069843836"</f>
        <v>080069843836</v>
      </c>
      <c r="F1540" s="3">
        <v>46002</v>
      </c>
      <c r="G1540">
        <v>202609</v>
      </c>
      <c r="H1540" t="s">
        <v>75</v>
      </c>
      <c r="I1540" t="s">
        <v>76</v>
      </c>
      <c r="J1540" t="s">
        <v>77</v>
      </c>
      <c r="K1540" t="s">
        <v>78</v>
      </c>
      <c r="L1540" t="s">
        <v>176</v>
      </c>
      <c r="M1540" t="s">
        <v>177</v>
      </c>
      <c r="N1540" t="s">
        <v>2172</v>
      </c>
      <c r="O1540" t="s">
        <v>89</v>
      </c>
      <c r="P1540" t="str">
        <f>"4170073008                    "</f>
        <v xml:space="preserve">4170073008                    </v>
      </c>
      <c r="Q1540">
        <v>0</v>
      </c>
      <c r="R1540">
        <v>0</v>
      </c>
      <c r="S1540">
        <v>0</v>
      </c>
      <c r="T1540">
        <v>0</v>
      </c>
      <c r="U1540">
        <v>0</v>
      </c>
      <c r="V1540">
        <v>0</v>
      </c>
      <c r="W1540">
        <v>0</v>
      </c>
      <c r="X1540">
        <v>0</v>
      </c>
      <c r="Y1540">
        <v>0</v>
      </c>
      <c r="Z1540">
        <v>0</v>
      </c>
      <c r="AA1540">
        <v>0</v>
      </c>
      <c r="AB1540">
        <v>0</v>
      </c>
      <c r="AC1540">
        <v>0</v>
      </c>
      <c r="AD1540">
        <v>0</v>
      </c>
      <c r="AE1540">
        <v>0</v>
      </c>
      <c r="AF1540">
        <v>0</v>
      </c>
      <c r="AG1540">
        <v>0</v>
      </c>
      <c r="AH1540">
        <v>0</v>
      </c>
      <c r="AI1540">
        <v>0</v>
      </c>
      <c r="AJ1540">
        <v>0</v>
      </c>
      <c r="AK1540">
        <v>0</v>
      </c>
      <c r="AL1540">
        <v>0</v>
      </c>
      <c r="AM1540">
        <v>0</v>
      </c>
      <c r="AN1540">
        <v>0</v>
      </c>
      <c r="AO1540">
        <v>0</v>
      </c>
      <c r="AP1540">
        <v>0</v>
      </c>
      <c r="AQ1540">
        <v>19.940000000000001</v>
      </c>
      <c r="AR1540">
        <v>0</v>
      </c>
      <c r="AS1540">
        <v>0</v>
      </c>
      <c r="AT1540">
        <v>0</v>
      </c>
      <c r="AU1540">
        <v>0</v>
      </c>
      <c r="AV1540">
        <v>0</v>
      </c>
      <c r="AW1540">
        <v>0</v>
      </c>
      <c r="AX1540">
        <v>0</v>
      </c>
      <c r="AY1540">
        <v>0</v>
      </c>
      <c r="AZ1540">
        <v>0</v>
      </c>
      <c r="BA1540">
        <v>0</v>
      </c>
      <c r="BB1540">
        <v>0</v>
      </c>
      <c r="BC1540">
        <v>0</v>
      </c>
      <c r="BD1540">
        <v>0</v>
      </c>
      <c r="BE1540">
        <v>0</v>
      </c>
      <c r="BF1540">
        <v>0</v>
      </c>
      <c r="BG1540">
        <v>0</v>
      </c>
      <c r="BH1540">
        <v>1</v>
      </c>
      <c r="BI1540">
        <v>1</v>
      </c>
      <c r="BJ1540">
        <v>0.2</v>
      </c>
      <c r="BK1540">
        <v>1</v>
      </c>
      <c r="BL1540">
        <v>59.42</v>
      </c>
      <c r="BM1540">
        <v>8.91</v>
      </c>
      <c r="BN1540">
        <v>68.33</v>
      </c>
      <c r="BO1540">
        <v>68.33</v>
      </c>
      <c r="BQ1540" t="s">
        <v>2173</v>
      </c>
      <c r="BR1540" t="s">
        <v>82</v>
      </c>
      <c r="BS1540" t="s">
        <v>500</v>
      </c>
      <c r="BY1540">
        <v>1200</v>
      </c>
      <c r="CC1540" t="s">
        <v>177</v>
      </c>
      <c r="CD1540">
        <v>2091</v>
      </c>
      <c r="CE1540" t="s">
        <v>134</v>
      </c>
      <c r="CI1540">
        <v>1</v>
      </c>
      <c r="CJ1540" t="s">
        <v>500</v>
      </c>
      <c r="CK1540">
        <v>22</v>
      </c>
      <c r="CL1540" t="s">
        <v>87</v>
      </c>
    </row>
    <row r="1541" spans="1:90" x14ac:dyDescent="0.3">
      <c r="A1541" t="s">
        <v>72</v>
      </c>
      <c r="B1541" t="s">
        <v>73</v>
      </c>
      <c r="C1541" t="s">
        <v>74</v>
      </c>
      <c r="E1541" t="str">
        <f>"080069843865"</f>
        <v>080069843865</v>
      </c>
      <c r="F1541" s="3">
        <v>46002</v>
      </c>
      <c r="G1541">
        <v>202609</v>
      </c>
      <c r="H1541" t="s">
        <v>75</v>
      </c>
      <c r="I1541" t="s">
        <v>76</v>
      </c>
      <c r="J1541" t="s">
        <v>77</v>
      </c>
      <c r="K1541" t="s">
        <v>78</v>
      </c>
      <c r="L1541" t="s">
        <v>781</v>
      </c>
      <c r="M1541" t="s">
        <v>782</v>
      </c>
      <c r="N1541" t="s">
        <v>2174</v>
      </c>
      <c r="O1541" t="s">
        <v>89</v>
      </c>
      <c r="P1541" t="str">
        <f>"4170073066                    "</f>
        <v xml:space="preserve">4170073066                    </v>
      </c>
      <c r="Q1541">
        <v>0</v>
      </c>
      <c r="R1541">
        <v>0</v>
      </c>
      <c r="S1541">
        <v>0</v>
      </c>
      <c r="T1541">
        <v>0</v>
      </c>
      <c r="U1541">
        <v>0</v>
      </c>
      <c r="V1541">
        <v>0</v>
      </c>
      <c r="W1541">
        <v>0</v>
      </c>
      <c r="X1541">
        <v>0</v>
      </c>
      <c r="Y1541">
        <v>0</v>
      </c>
      <c r="Z1541">
        <v>0</v>
      </c>
      <c r="AA1541">
        <v>0</v>
      </c>
      <c r="AB1541">
        <v>0</v>
      </c>
      <c r="AC1541">
        <v>0</v>
      </c>
      <c r="AD1541">
        <v>0</v>
      </c>
      <c r="AE1541">
        <v>0</v>
      </c>
      <c r="AF1541">
        <v>0</v>
      </c>
      <c r="AG1541">
        <v>0</v>
      </c>
      <c r="AH1541">
        <v>0</v>
      </c>
      <c r="AI1541">
        <v>0</v>
      </c>
      <c r="AJ1541">
        <v>0</v>
      </c>
      <c r="AK1541">
        <v>0</v>
      </c>
      <c r="AL1541">
        <v>0</v>
      </c>
      <c r="AM1541">
        <v>0</v>
      </c>
      <c r="AN1541">
        <v>0</v>
      </c>
      <c r="AO1541">
        <v>0</v>
      </c>
      <c r="AP1541">
        <v>0</v>
      </c>
      <c r="AQ1541">
        <v>25.52</v>
      </c>
      <c r="AR1541">
        <v>0</v>
      </c>
      <c r="AS1541">
        <v>0</v>
      </c>
      <c r="AT1541">
        <v>0</v>
      </c>
      <c r="AU1541">
        <v>0</v>
      </c>
      <c r="AV1541">
        <v>0</v>
      </c>
      <c r="AW1541">
        <v>0</v>
      </c>
      <c r="AX1541">
        <v>0</v>
      </c>
      <c r="AY1541">
        <v>0</v>
      </c>
      <c r="AZ1541">
        <v>0</v>
      </c>
      <c r="BA1541">
        <v>0</v>
      </c>
      <c r="BB1541">
        <v>0</v>
      </c>
      <c r="BC1541">
        <v>0</v>
      </c>
      <c r="BD1541">
        <v>0</v>
      </c>
      <c r="BE1541">
        <v>0</v>
      </c>
      <c r="BF1541">
        <v>0</v>
      </c>
      <c r="BG1541">
        <v>0</v>
      </c>
      <c r="BH1541">
        <v>1</v>
      </c>
      <c r="BI1541">
        <v>1</v>
      </c>
      <c r="BJ1541">
        <v>0.2</v>
      </c>
      <c r="BK1541">
        <v>1</v>
      </c>
      <c r="BL1541">
        <v>76.06</v>
      </c>
      <c r="BM1541">
        <v>11.41</v>
      </c>
      <c r="BN1541">
        <v>87.47</v>
      </c>
      <c r="BO1541">
        <v>87.47</v>
      </c>
      <c r="BQ1541" t="s">
        <v>2175</v>
      </c>
      <c r="BR1541" t="s">
        <v>82</v>
      </c>
      <c r="BS1541" t="s">
        <v>500</v>
      </c>
      <c r="BY1541">
        <v>1200</v>
      </c>
      <c r="CC1541" t="s">
        <v>782</v>
      </c>
      <c r="CD1541">
        <v>4113</v>
      </c>
      <c r="CE1541" t="s">
        <v>134</v>
      </c>
      <c r="CI1541">
        <v>1</v>
      </c>
      <c r="CJ1541" t="s">
        <v>500</v>
      </c>
      <c r="CK1541">
        <v>21</v>
      </c>
      <c r="CL1541" t="s">
        <v>87</v>
      </c>
    </row>
    <row r="1542" spans="1:90" x14ac:dyDescent="0.3">
      <c r="A1542" t="s">
        <v>72</v>
      </c>
      <c r="B1542" t="s">
        <v>73</v>
      </c>
      <c r="C1542" t="s">
        <v>74</v>
      </c>
      <c r="E1542" t="str">
        <f>"080069843889"</f>
        <v>080069843889</v>
      </c>
      <c r="F1542" s="3">
        <v>46002</v>
      </c>
      <c r="G1542">
        <v>202609</v>
      </c>
      <c r="H1542" t="s">
        <v>75</v>
      </c>
      <c r="I1542" t="s">
        <v>76</v>
      </c>
      <c r="J1542" t="s">
        <v>77</v>
      </c>
      <c r="K1542" t="s">
        <v>78</v>
      </c>
      <c r="L1542" t="s">
        <v>458</v>
      </c>
      <c r="M1542" t="s">
        <v>459</v>
      </c>
      <c r="N1542" t="s">
        <v>460</v>
      </c>
      <c r="O1542" t="s">
        <v>89</v>
      </c>
      <c r="P1542" t="str">
        <f>"4170073105                    "</f>
        <v xml:space="preserve">4170073105                    </v>
      </c>
      <c r="Q1542">
        <v>0</v>
      </c>
      <c r="R1542">
        <v>0</v>
      </c>
      <c r="S1542">
        <v>0</v>
      </c>
      <c r="T1542">
        <v>0</v>
      </c>
      <c r="U1542">
        <v>0</v>
      </c>
      <c r="V1542">
        <v>0</v>
      </c>
      <c r="W1542">
        <v>0</v>
      </c>
      <c r="X1542">
        <v>0</v>
      </c>
      <c r="Y1542">
        <v>0</v>
      </c>
      <c r="Z1542">
        <v>0</v>
      </c>
      <c r="AA1542">
        <v>0</v>
      </c>
      <c r="AB1542">
        <v>0</v>
      </c>
      <c r="AC1542">
        <v>0</v>
      </c>
      <c r="AD1542">
        <v>0</v>
      </c>
      <c r="AE1542">
        <v>0</v>
      </c>
      <c r="AF1542">
        <v>0</v>
      </c>
      <c r="AG1542">
        <v>0</v>
      </c>
      <c r="AH1542">
        <v>0</v>
      </c>
      <c r="AI1542">
        <v>0</v>
      </c>
      <c r="AJ1542">
        <v>0</v>
      </c>
      <c r="AK1542">
        <v>0</v>
      </c>
      <c r="AL1542">
        <v>0</v>
      </c>
      <c r="AM1542">
        <v>0</v>
      </c>
      <c r="AN1542">
        <v>0</v>
      </c>
      <c r="AO1542">
        <v>0</v>
      </c>
      <c r="AP1542">
        <v>0</v>
      </c>
      <c r="AQ1542">
        <v>49.45</v>
      </c>
      <c r="AR1542">
        <v>0</v>
      </c>
      <c r="AS1542">
        <v>0</v>
      </c>
      <c r="AT1542">
        <v>0</v>
      </c>
      <c r="AU1542">
        <v>0</v>
      </c>
      <c r="AV1542">
        <v>0</v>
      </c>
      <c r="AW1542">
        <v>0</v>
      </c>
      <c r="AX1542">
        <v>0</v>
      </c>
      <c r="AY1542">
        <v>0</v>
      </c>
      <c r="AZ1542">
        <v>0</v>
      </c>
      <c r="BA1542">
        <v>0</v>
      </c>
      <c r="BB1542">
        <v>0</v>
      </c>
      <c r="BC1542">
        <v>0</v>
      </c>
      <c r="BD1542">
        <v>0</v>
      </c>
      <c r="BE1542">
        <v>0</v>
      </c>
      <c r="BF1542">
        <v>0</v>
      </c>
      <c r="BG1542">
        <v>0</v>
      </c>
      <c r="BH1542">
        <v>1</v>
      </c>
      <c r="BI1542">
        <v>1</v>
      </c>
      <c r="BJ1542">
        <v>0.2</v>
      </c>
      <c r="BK1542">
        <v>1</v>
      </c>
      <c r="BL1542">
        <v>147.38</v>
      </c>
      <c r="BM1542">
        <v>22.11</v>
      </c>
      <c r="BN1542">
        <v>169.49</v>
      </c>
      <c r="BO1542">
        <v>169.49</v>
      </c>
      <c r="BQ1542" t="s">
        <v>461</v>
      </c>
      <c r="BR1542" t="s">
        <v>82</v>
      </c>
      <c r="BS1542" t="s">
        <v>500</v>
      </c>
      <c r="BY1542">
        <v>1200</v>
      </c>
      <c r="CC1542" t="s">
        <v>459</v>
      </c>
      <c r="CD1542">
        <v>7130</v>
      </c>
      <c r="CE1542" t="s">
        <v>134</v>
      </c>
      <c r="CI1542">
        <v>1</v>
      </c>
      <c r="CJ1542" t="s">
        <v>500</v>
      </c>
      <c r="CK1542">
        <v>23</v>
      </c>
      <c r="CL1542" t="s">
        <v>87</v>
      </c>
    </row>
    <row r="1543" spans="1:90" x14ac:dyDescent="0.3">
      <c r="A1543" t="s">
        <v>72</v>
      </c>
      <c r="B1543" t="s">
        <v>73</v>
      </c>
      <c r="C1543" t="s">
        <v>74</v>
      </c>
      <c r="E1543" t="str">
        <f>"080069843896"</f>
        <v>080069843896</v>
      </c>
      <c r="F1543" s="3">
        <v>46002</v>
      </c>
      <c r="G1543">
        <v>202609</v>
      </c>
      <c r="H1543" t="s">
        <v>75</v>
      </c>
      <c r="I1543" t="s">
        <v>76</v>
      </c>
      <c r="J1543" t="s">
        <v>77</v>
      </c>
      <c r="K1543" t="s">
        <v>78</v>
      </c>
      <c r="L1543" t="s">
        <v>156</v>
      </c>
      <c r="M1543" t="s">
        <v>157</v>
      </c>
      <c r="N1543" t="s">
        <v>470</v>
      </c>
      <c r="O1543" t="s">
        <v>89</v>
      </c>
      <c r="P1543" t="str">
        <f>"4170073063                    "</f>
        <v xml:space="preserve">4170073063                    </v>
      </c>
      <c r="Q1543">
        <v>0</v>
      </c>
      <c r="R1543">
        <v>0</v>
      </c>
      <c r="S1543">
        <v>0</v>
      </c>
      <c r="T1543">
        <v>0</v>
      </c>
      <c r="U1543">
        <v>0</v>
      </c>
      <c r="V1543">
        <v>0</v>
      </c>
      <c r="W1543">
        <v>0</v>
      </c>
      <c r="X1543">
        <v>0</v>
      </c>
      <c r="Y1543">
        <v>0</v>
      </c>
      <c r="Z1543">
        <v>0</v>
      </c>
      <c r="AA1543">
        <v>0</v>
      </c>
      <c r="AB1543">
        <v>0</v>
      </c>
      <c r="AC1543">
        <v>0</v>
      </c>
      <c r="AD1543">
        <v>0</v>
      </c>
      <c r="AE1543">
        <v>0</v>
      </c>
      <c r="AF1543">
        <v>0</v>
      </c>
      <c r="AG1543">
        <v>0</v>
      </c>
      <c r="AH1543">
        <v>0</v>
      </c>
      <c r="AI1543">
        <v>0</v>
      </c>
      <c r="AJ1543">
        <v>0</v>
      </c>
      <c r="AK1543">
        <v>0</v>
      </c>
      <c r="AL1543">
        <v>0</v>
      </c>
      <c r="AM1543">
        <v>0</v>
      </c>
      <c r="AN1543">
        <v>0</v>
      </c>
      <c r="AO1543">
        <v>0</v>
      </c>
      <c r="AP1543">
        <v>0</v>
      </c>
      <c r="AQ1543">
        <v>25.52</v>
      </c>
      <c r="AR1543">
        <v>0</v>
      </c>
      <c r="AS1543">
        <v>0</v>
      </c>
      <c r="AT1543">
        <v>0</v>
      </c>
      <c r="AU1543">
        <v>0</v>
      </c>
      <c r="AV1543">
        <v>0</v>
      </c>
      <c r="AW1543">
        <v>0</v>
      </c>
      <c r="AX1543">
        <v>0</v>
      </c>
      <c r="AY1543">
        <v>0</v>
      </c>
      <c r="AZ1543">
        <v>0</v>
      </c>
      <c r="BA1543">
        <v>0</v>
      </c>
      <c r="BB1543">
        <v>0</v>
      </c>
      <c r="BC1543">
        <v>0</v>
      </c>
      <c r="BD1543">
        <v>0</v>
      </c>
      <c r="BE1543">
        <v>0</v>
      </c>
      <c r="BF1543">
        <v>0</v>
      </c>
      <c r="BG1543">
        <v>0</v>
      </c>
      <c r="BH1543">
        <v>1</v>
      </c>
      <c r="BI1543">
        <v>1</v>
      </c>
      <c r="BJ1543">
        <v>0.2</v>
      </c>
      <c r="BK1543">
        <v>1</v>
      </c>
      <c r="BL1543">
        <v>76.06</v>
      </c>
      <c r="BM1543">
        <v>11.41</v>
      </c>
      <c r="BN1543">
        <v>87.47</v>
      </c>
      <c r="BO1543">
        <v>87.47</v>
      </c>
      <c r="BQ1543" t="s">
        <v>471</v>
      </c>
      <c r="BR1543" t="s">
        <v>82</v>
      </c>
      <c r="BS1543" t="s">
        <v>500</v>
      </c>
      <c r="BY1543">
        <v>1200</v>
      </c>
      <c r="CC1543" t="s">
        <v>157</v>
      </c>
      <c r="CD1543">
        <v>7480</v>
      </c>
      <c r="CE1543" t="s">
        <v>134</v>
      </c>
      <c r="CI1543">
        <v>1</v>
      </c>
      <c r="CJ1543" t="s">
        <v>500</v>
      </c>
      <c r="CK1543">
        <v>21</v>
      </c>
      <c r="CL1543" t="s">
        <v>87</v>
      </c>
    </row>
    <row r="1544" spans="1:90" x14ac:dyDescent="0.3">
      <c r="A1544" t="s">
        <v>72</v>
      </c>
      <c r="B1544" t="s">
        <v>73</v>
      </c>
      <c r="C1544" t="s">
        <v>74</v>
      </c>
      <c r="E1544" t="str">
        <f>"080069843941"</f>
        <v>080069843941</v>
      </c>
      <c r="F1544" s="3">
        <v>46002</v>
      </c>
      <c r="G1544">
        <v>202609</v>
      </c>
      <c r="H1544" t="s">
        <v>75</v>
      </c>
      <c r="I1544" t="s">
        <v>76</v>
      </c>
      <c r="J1544" t="s">
        <v>77</v>
      </c>
      <c r="K1544" t="s">
        <v>78</v>
      </c>
      <c r="L1544" t="s">
        <v>943</v>
      </c>
      <c r="M1544" t="s">
        <v>944</v>
      </c>
      <c r="N1544" t="s">
        <v>945</v>
      </c>
      <c r="O1544" t="s">
        <v>89</v>
      </c>
      <c r="P1544" t="str">
        <f>"4170073046                    "</f>
        <v xml:space="preserve">4170073046                    </v>
      </c>
      <c r="Q1544">
        <v>0</v>
      </c>
      <c r="R1544">
        <v>0</v>
      </c>
      <c r="S1544">
        <v>0</v>
      </c>
      <c r="T1544">
        <v>0</v>
      </c>
      <c r="U1544">
        <v>0</v>
      </c>
      <c r="V1544">
        <v>0</v>
      </c>
      <c r="W1544">
        <v>0</v>
      </c>
      <c r="X1544">
        <v>0</v>
      </c>
      <c r="Y1544">
        <v>0</v>
      </c>
      <c r="Z1544">
        <v>0</v>
      </c>
      <c r="AA1544">
        <v>0</v>
      </c>
      <c r="AB1544">
        <v>0</v>
      </c>
      <c r="AC1544">
        <v>0</v>
      </c>
      <c r="AD1544">
        <v>0</v>
      </c>
      <c r="AE1544">
        <v>0</v>
      </c>
      <c r="AF1544">
        <v>0</v>
      </c>
      <c r="AG1544">
        <v>0</v>
      </c>
      <c r="AH1544">
        <v>0</v>
      </c>
      <c r="AI1544">
        <v>0</v>
      </c>
      <c r="AJ1544">
        <v>0</v>
      </c>
      <c r="AK1544">
        <v>0</v>
      </c>
      <c r="AL1544">
        <v>0</v>
      </c>
      <c r="AM1544">
        <v>0</v>
      </c>
      <c r="AN1544">
        <v>0</v>
      </c>
      <c r="AO1544">
        <v>0</v>
      </c>
      <c r="AP1544">
        <v>0</v>
      </c>
      <c r="AQ1544">
        <v>19.940000000000001</v>
      </c>
      <c r="AR1544">
        <v>0</v>
      </c>
      <c r="AS1544">
        <v>0</v>
      </c>
      <c r="AT1544">
        <v>0</v>
      </c>
      <c r="AU1544">
        <v>0</v>
      </c>
      <c r="AV1544">
        <v>0</v>
      </c>
      <c r="AW1544">
        <v>0</v>
      </c>
      <c r="AX1544">
        <v>0</v>
      </c>
      <c r="AY1544">
        <v>0</v>
      </c>
      <c r="AZ1544">
        <v>0</v>
      </c>
      <c r="BA1544">
        <v>0</v>
      </c>
      <c r="BB1544">
        <v>0</v>
      </c>
      <c r="BC1544">
        <v>0</v>
      </c>
      <c r="BD1544">
        <v>0</v>
      </c>
      <c r="BE1544">
        <v>0</v>
      </c>
      <c r="BF1544">
        <v>0</v>
      </c>
      <c r="BG1544">
        <v>0</v>
      </c>
      <c r="BH1544">
        <v>1</v>
      </c>
      <c r="BI1544">
        <v>2</v>
      </c>
      <c r="BJ1544">
        <v>0.4</v>
      </c>
      <c r="BK1544">
        <v>2</v>
      </c>
      <c r="BL1544">
        <v>59.42</v>
      </c>
      <c r="BM1544">
        <v>8.91</v>
      </c>
      <c r="BN1544">
        <v>68.33</v>
      </c>
      <c r="BO1544">
        <v>68.33</v>
      </c>
      <c r="BQ1544" t="s">
        <v>946</v>
      </c>
      <c r="BR1544" t="s">
        <v>82</v>
      </c>
      <c r="BS1544" t="s">
        <v>500</v>
      </c>
      <c r="BY1544">
        <v>1904</v>
      </c>
      <c r="CC1544" t="s">
        <v>944</v>
      </c>
      <c r="CD1544">
        <v>1682</v>
      </c>
      <c r="CE1544" t="s">
        <v>229</v>
      </c>
      <c r="CI1544">
        <v>1</v>
      </c>
      <c r="CJ1544" t="s">
        <v>500</v>
      </c>
      <c r="CK1544">
        <v>22</v>
      </c>
      <c r="CL1544" t="s">
        <v>87</v>
      </c>
    </row>
    <row r="1545" spans="1:90" x14ac:dyDescent="0.3">
      <c r="A1545" t="s">
        <v>72</v>
      </c>
      <c r="B1545" t="s">
        <v>73</v>
      </c>
      <c r="C1545" t="s">
        <v>74</v>
      </c>
      <c r="E1545" t="str">
        <f>"080069843954"</f>
        <v>080069843954</v>
      </c>
      <c r="F1545" s="3">
        <v>46002</v>
      </c>
      <c r="G1545">
        <v>202609</v>
      </c>
      <c r="H1545" t="s">
        <v>75</v>
      </c>
      <c r="I1545" t="s">
        <v>76</v>
      </c>
      <c r="J1545" t="s">
        <v>77</v>
      </c>
      <c r="K1545" t="s">
        <v>78</v>
      </c>
      <c r="L1545" t="s">
        <v>156</v>
      </c>
      <c r="M1545" t="s">
        <v>157</v>
      </c>
      <c r="N1545" t="s">
        <v>470</v>
      </c>
      <c r="O1545" t="s">
        <v>89</v>
      </c>
      <c r="P1545" t="str">
        <f>"4170073067                    "</f>
        <v xml:space="preserve">4170073067                    </v>
      </c>
      <c r="Q1545">
        <v>0</v>
      </c>
      <c r="R1545">
        <v>0</v>
      </c>
      <c r="S1545">
        <v>0</v>
      </c>
      <c r="T1545">
        <v>0</v>
      </c>
      <c r="U1545">
        <v>0</v>
      </c>
      <c r="V1545">
        <v>0</v>
      </c>
      <c r="W1545">
        <v>0</v>
      </c>
      <c r="X1545">
        <v>0</v>
      </c>
      <c r="Y1545">
        <v>0</v>
      </c>
      <c r="Z1545">
        <v>0</v>
      </c>
      <c r="AA1545">
        <v>0</v>
      </c>
      <c r="AB1545">
        <v>0</v>
      </c>
      <c r="AC1545">
        <v>0</v>
      </c>
      <c r="AD1545">
        <v>0</v>
      </c>
      <c r="AE1545">
        <v>0</v>
      </c>
      <c r="AF1545">
        <v>0</v>
      </c>
      <c r="AG1545">
        <v>0</v>
      </c>
      <c r="AH1545">
        <v>0</v>
      </c>
      <c r="AI1545">
        <v>0</v>
      </c>
      <c r="AJ1545">
        <v>0</v>
      </c>
      <c r="AK1545">
        <v>0</v>
      </c>
      <c r="AL1545">
        <v>0</v>
      </c>
      <c r="AM1545">
        <v>0</v>
      </c>
      <c r="AN1545">
        <v>0</v>
      </c>
      <c r="AO1545">
        <v>0</v>
      </c>
      <c r="AP1545">
        <v>0</v>
      </c>
      <c r="AQ1545">
        <v>25.52</v>
      </c>
      <c r="AR1545">
        <v>0</v>
      </c>
      <c r="AS1545">
        <v>0</v>
      </c>
      <c r="AT1545">
        <v>0</v>
      </c>
      <c r="AU1545">
        <v>0</v>
      </c>
      <c r="AV1545">
        <v>0</v>
      </c>
      <c r="AW1545">
        <v>0</v>
      </c>
      <c r="AX1545">
        <v>0</v>
      </c>
      <c r="AY1545">
        <v>0</v>
      </c>
      <c r="AZ1545">
        <v>0</v>
      </c>
      <c r="BA1545">
        <v>0</v>
      </c>
      <c r="BB1545">
        <v>0</v>
      </c>
      <c r="BC1545">
        <v>0</v>
      </c>
      <c r="BD1545">
        <v>0</v>
      </c>
      <c r="BE1545">
        <v>0</v>
      </c>
      <c r="BF1545">
        <v>0</v>
      </c>
      <c r="BG1545">
        <v>0</v>
      </c>
      <c r="BH1545">
        <v>1</v>
      </c>
      <c r="BI1545">
        <v>1</v>
      </c>
      <c r="BJ1545">
        <v>0.2</v>
      </c>
      <c r="BK1545">
        <v>1</v>
      </c>
      <c r="BL1545">
        <v>76.06</v>
      </c>
      <c r="BM1545">
        <v>11.41</v>
      </c>
      <c r="BN1545">
        <v>87.47</v>
      </c>
      <c r="BO1545">
        <v>87.47</v>
      </c>
      <c r="BQ1545" t="s">
        <v>471</v>
      </c>
      <c r="BR1545" t="s">
        <v>82</v>
      </c>
      <c r="BS1545" t="s">
        <v>500</v>
      </c>
      <c r="BY1545">
        <v>1200</v>
      </c>
      <c r="CC1545" t="s">
        <v>157</v>
      </c>
      <c r="CD1545">
        <v>7480</v>
      </c>
      <c r="CE1545" t="s">
        <v>134</v>
      </c>
      <c r="CI1545">
        <v>1</v>
      </c>
      <c r="CJ1545" t="s">
        <v>500</v>
      </c>
      <c r="CK1545">
        <v>21</v>
      </c>
      <c r="CL1545" t="s">
        <v>87</v>
      </c>
    </row>
    <row r="1546" spans="1:90" x14ac:dyDescent="0.3">
      <c r="A1546" t="s">
        <v>72</v>
      </c>
      <c r="B1546" t="s">
        <v>73</v>
      </c>
      <c r="C1546" t="s">
        <v>74</v>
      </c>
      <c r="E1546" t="str">
        <f>"080069843981"</f>
        <v>080069843981</v>
      </c>
      <c r="F1546" s="3">
        <v>46002</v>
      </c>
      <c r="G1546">
        <v>202609</v>
      </c>
      <c r="H1546" t="s">
        <v>75</v>
      </c>
      <c r="I1546" t="s">
        <v>76</v>
      </c>
      <c r="J1546" t="s">
        <v>77</v>
      </c>
      <c r="K1546" t="s">
        <v>78</v>
      </c>
      <c r="L1546" t="s">
        <v>502</v>
      </c>
      <c r="M1546" t="s">
        <v>503</v>
      </c>
      <c r="N1546" t="s">
        <v>2176</v>
      </c>
      <c r="O1546" t="s">
        <v>89</v>
      </c>
      <c r="P1546" t="str">
        <f>"4170072998                    "</f>
        <v xml:space="preserve">4170072998                    </v>
      </c>
      <c r="Q1546">
        <v>0</v>
      </c>
      <c r="R1546">
        <v>0</v>
      </c>
      <c r="S1546">
        <v>0</v>
      </c>
      <c r="T1546">
        <v>0</v>
      </c>
      <c r="U1546">
        <v>0</v>
      </c>
      <c r="V1546">
        <v>0</v>
      </c>
      <c r="W1546">
        <v>0</v>
      </c>
      <c r="X1546">
        <v>0</v>
      </c>
      <c r="Y1546">
        <v>0</v>
      </c>
      <c r="Z1546">
        <v>0</v>
      </c>
      <c r="AA1546">
        <v>0</v>
      </c>
      <c r="AB1546">
        <v>0</v>
      </c>
      <c r="AC1546">
        <v>0</v>
      </c>
      <c r="AD1546">
        <v>0</v>
      </c>
      <c r="AE1546">
        <v>0</v>
      </c>
      <c r="AF1546">
        <v>0</v>
      </c>
      <c r="AG1546">
        <v>0</v>
      </c>
      <c r="AH1546">
        <v>0</v>
      </c>
      <c r="AI1546">
        <v>0</v>
      </c>
      <c r="AJ1546">
        <v>0</v>
      </c>
      <c r="AK1546">
        <v>0</v>
      </c>
      <c r="AL1546">
        <v>0</v>
      </c>
      <c r="AM1546">
        <v>0</v>
      </c>
      <c r="AN1546">
        <v>0</v>
      </c>
      <c r="AO1546">
        <v>0</v>
      </c>
      <c r="AP1546">
        <v>0</v>
      </c>
      <c r="AQ1546">
        <v>19.940000000000001</v>
      </c>
      <c r="AR1546">
        <v>0</v>
      </c>
      <c r="AS1546">
        <v>0</v>
      </c>
      <c r="AT1546">
        <v>0</v>
      </c>
      <c r="AU1546">
        <v>0</v>
      </c>
      <c r="AV1546">
        <v>0</v>
      </c>
      <c r="AW1546">
        <v>0</v>
      </c>
      <c r="AX1546">
        <v>0</v>
      </c>
      <c r="AY1546">
        <v>0</v>
      </c>
      <c r="AZ1546">
        <v>0</v>
      </c>
      <c r="BA1546">
        <v>0</v>
      </c>
      <c r="BB1546">
        <v>0</v>
      </c>
      <c r="BC1546">
        <v>0</v>
      </c>
      <c r="BD1546">
        <v>0</v>
      </c>
      <c r="BE1546">
        <v>0</v>
      </c>
      <c r="BF1546">
        <v>0</v>
      </c>
      <c r="BG1546">
        <v>0</v>
      </c>
      <c r="BH1546">
        <v>1</v>
      </c>
      <c r="BI1546">
        <v>1</v>
      </c>
      <c r="BJ1546">
        <v>1.9</v>
      </c>
      <c r="BK1546">
        <v>2</v>
      </c>
      <c r="BL1546">
        <v>59.42</v>
      </c>
      <c r="BM1546">
        <v>8.91</v>
      </c>
      <c r="BN1546">
        <v>68.33</v>
      </c>
      <c r="BO1546">
        <v>68.33</v>
      </c>
      <c r="BQ1546" t="s">
        <v>2177</v>
      </c>
      <c r="BR1546" t="s">
        <v>82</v>
      </c>
      <c r="BS1546" t="s">
        <v>500</v>
      </c>
      <c r="BY1546">
        <v>9576</v>
      </c>
      <c r="CC1546" t="s">
        <v>503</v>
      </c>
      <c r="CD1546">
        <v>1559</v>
      </c>
      <c r="CE1546" t="s">
        <v>86</v>
      </c>
      <c r="CI1546">
        <v>1</v>
      </c>
      <c r="CJ1546" t="s">
        <v>500</v>
      </c>
      <c r="CK1546">
        <v>22</v>
      </c>
      <c r="CL1546" t="s">
        <v>87</v>
      </c>
    </row>
    <row r="1547" spans="1:90" x14ac:dyDescent="0.3">
      <c r="A1547" t="s">
        <v>72</v>
      </c>
      <c r="B1547" t="s">
        <v>73</v>
      </c>
      <c r="C1547" t="s">
        <v>74</v>
      </c>
      <c r="E1547" t="str">
        <f>"080069844052"</f>
        <v>080069844052</v>
      </c>
      <c r="F1547" s="3">
        <v>46002</v>
      </c>
      <c r="G1547">
        <v>202609</v>
      </c>
      <c r="H1547" t="s">
        <v>75</v>
      </c>
      <c r="I1547" t="s">
        <v>76</v>
      </c>
      <c r="J1547" t="s">
        <v>77</v>
      </c>
      <c r="K1547" t="s">
        <v>78</v>
      </c>
      <c r="L1547" t="s">
        <v>374</v>
      </c>
      <c r="M1547" t="s">
        <v>375</v>
      </c>
      <c r="N1547" t="s">
        <v>2178</v>
      </c>
      <c r="O1547" t="s">
        <v>89</v>
      </c>
      <c r="P1547" t="str">
        <f>"4170073005                    "</f>
        <v xml:space="preserve">4170073005                    </v>
      </c>
      <c r="Q1547">
        <v>0</v>
      </c>
      <c r="R1547">
        <v>0</v>
      </c>
      <c r="S1547">
        <v>0</v>
      </c>
      <c r="T1547">
        <v>0</v>
      </c>
      <c r="U1547">
        <v>0</v>
      </c>
      <c r="V1547">
        <v>0</v>
      </c>
      <c r="W1547">
        <v>0</v>
      </c>
      <c r="X1547">
        <v>0</v>
      </c>
      <c r="Y1547">
        <v>0</v>
      </c>
      <c r="Z1547">
        <v>0</v>
      </c>
      <c r="AA1547">
        <v>0</v>
      </c>
      <c r="AB1547">
        <v>0</v>
      </c>
      <c r="AC1547">
        <v>0</v>
      </c>
      <c r="AD1547">
        <v>0</v>
      </c>
      <c r="AE1547">
        <v>0</v>
      </c>
      <c r="AF1547">
        <v>0</v>
      </c>
      <c r="AG1547">
        <v>0</v>
      </c>
      <c r="AH1547">
        <v>0</v>
      </c>
      <c r="AI1547">
        <v>0</v>
      </c>
      <c r="AJ1547">
        <v>0</v>
      </c>
      <c r="AK1547">
        <v>0</v>
      </c>
      <c r="AL1547">
        <v>0</v>
      </c>
      <c r="AM1547">
        <v>0</v>
      </c>
      <c r="AN1547">
        <v>0</v>
      </c>
      <c r="AO1547">
        <v>0</v>
      </c>
      <c r="AP1547">
        <v>0</v>
      </c>
      <c r="AQ1547">
        <v>25.52</v>
      </c>
      <c r="AR1547">
        <v>0</v>
      </c>
      <c r="AS1547">
        <v>0</v>
      </c>
      <c r="AT1547">
        <v>0</v>
      </c>
      <c r="AU1547">
        <v>0</v>
      </c>
      <c r="AV1547">
        <v>0</v>
      </c>
      <c r="AW1547">
        <v>0</v>
      </c>
      <c r="AX1547">
        <v>0</v>
      </c>
      <c r="AY1547">
        <v>0</v>
      </c>
      <c r="AZ1547">
        <v>0</v>
      </c>
      <c r="BA1547">
        <v>0</v>
      </c>
      <c r="BB1547">
        <v>0</v>
      </c>
      <c r="BC1547">
        <v>0</v>
      </c>
      <c r="BD1547">
        <v>0</v>
      </c>
      <c r="BE1547">
        <v>0</v>
      </c>
      <c r="BF1547">
        <v>0</v>
      </c>
      <c r="BG1547">
        <v>0</v>
      </c>
      <c r="BH1547">
        <v>1</v>
      </c>
      <c r="BI1547">
        <v>1</v>
      </c>
      <c r="BJ1547">
        <v>0.2</v>
      </c>
      <c r="BK1547">
        <v>1</v>
      </c>
      <c r="BL1547">
        <v>76.06</v>
      </c>
      <c r="BM1547">
        <v>11.41</v>
      </c>
      <c r="BN1547">
        <v>87.47</v>
      </c>
      <c r="BO1547">
        <v>87.47</v>
      </c>
      <c r="BQ1547" t="s">
        <v>2179</v>
      </c>
      <c r="BR1547" t="s">
        <v>82</v>
      </c>
      <c r="BS1547" t="s">
        <v>500</v>
      </c>
      <c r="BY1547">
        <v>1200</v>
      </c>
      <c r="CC1547" t="s">
        <v>375</v>
      </c>
      <c r="CD1547">
        <v>7600</v>
      </c>
      <c r="CE1547" t="s">
        <v>134</v>
      </c>
      <c r="CI1547">
        <v>1</v>
      </c>
      <c r="CJ1547" t="s">
        <v>500</v>
      </c>
      <c r="CK1547">
        <v>21</v>
      </c>
      <c r="CL1547" t="s">
        <v>87</v>
      </c>
    </row>
    <row r="1548" spans="1:90" x14ac:dyDescent="0.3">
      <c r="A1548" t="s">
        <v>72</v>
      </c>
      <c r="B1548" t="s">
        <v>73</v>
      </c>
      <c r="C1548" t="s">
        <v>74</v>
      </c>
      <c r="E1548" t="str">
        <f>"080069844102"</f>
        <v>080069844102</v>
      </c>
      <c r="F1548" s="3">
        <v>46002</v>
      </c>
      <c r="G1548">
        <v>202609</v>
      </c>
      <c r="H1548" t="s">
        <v>75</v>
      </c>
      <c r="I1548" t="s">
        <v>76</v>
      </c>
      <c r="J1548" t="s">
        <v>77</v>
      </c>
      <c r="K1548" t="s">
        <v>78</v>
      </c>
      <c r="L1548" t="s">
        <v>100</v>
      </c>
      <c r="M1548" t="s">
        <v>101</v>
      </c>
      <c r="N1548" t="s">
        <v>2180</v>
      </c>
      <c r="O1548" t="s">
        <v>89</v>
      </c>
      <c r="P1548" t="str">
        <f>"4170073017                    "</f>
        <v xml:space="preserve">4170073017                    </v>
      </c>
      <c r="Q1548">
        <v>0</v>
      </c>
      <c r="R1548">
        <v>0</v>
      </c>
      <c r="S1548">
        <v>0</v>
      </c>
      <c r="T1548">
        <v>0</v>
      </c>
      <c r="U1548">
        <v>0</v>
      </c>
      <c r="V1548">
        <v>0</v>
      </c>
      <c r="W1548">
        <v>0</v>
      </c>
      <c r="X1548">
        <v>0</v>
      </c>
      <c r="Y1548">
        <v>0</v>
      </c>
      <c r="Z1548">
        <v>0</v>
      </c>
      <c r="AA1548">
        <v>0</v>
      </c>
      <c r="AB1548">
        <v>0</v>
      </c>
      <c r="AC1548">
        <v>0</v>
      </c>
      <c r="AD1548">
        <v>0</v>
      </c>
      <c r="AE1548">
        <v>0</v>
      </c>
      <c r="AF1548">
        <v>0</v>
      </c>
      <c r="AG1548">
        <v>0</v>
      </c>
      <c r="AH1548">
        <v>0</v>
      </c>
      <c r="AI1548">
        <v>0</v>
      </c>
      <c r="AJ1548">
        <v>0</v>
      </c>
      <c r="AK1548">
        <v>0</v>
      </c>
      <c r="AL1548">
        <v>0</v>
      </c>
      <c r="AM1548">
        <v>0</v>
      </c>
      <c r="AN1548">
        <v>0</v>
      </c>
      <c r="AO1548">
        <v>0</v>
      </c>
      <c r="AP1548">
        <v>0</v>
      </c>
      <c r="AQ1548">
        <v>25.52</v>
      </c>
      <c r="AR1548">
        <v>0</v>
      </c>
      <c r="AS1548">
        <v>0</v>
      </c>
      <c r="AT1548">
        <v>0</v>
      </c>
      <c r="AU1548">
        <v>0</v>
      </c>
      <c r="AV1548">
        <v>0</v>
      </c>
      <c r="AW1548">
        <v>0</v>
      </c>
      <c r="AX1548">
        <v>0</v>
      </c>
      <c r="AY1548">
        <v>0</v>
      </c>
      <c r="AZ1548">
        <v>0</v>
      </c>
      <c r="BA1548">
        <v>0</v>
      </c>
      <c r="BB1548">
        <v>0</v>
      </c>
      <c r="BC1548">
        <v>0</v>
      </c>
      <c r="BD1548">
        <v>0</v>
      </c>
      <c r="BE1548">
        <v>0</v>
      </c>
      <c r="BF1548">
        <v>0</v>
      </c>
      <c r="BG1548">
        <v>0</v>
      </c>
      <c r="BH1548">
        <v>1</v>
      </c>
      <c r="BI1548">
        <v>1</v>
      </c>
      <c r="BJ1548">
        <v>0.2</v>
      </c>
      <c r="BK1548">
        <v>1</v>
      </c>
      <c r="BL1548">
        <v>76.06</v>
      </c>
      <c r="BM1548">
        <v>11.41</v>
      </c>
      <c r="BN1548">
        <v>87.47</v>
      </c>
      <c r="BO1548">
        <v>87.47</v>
      </c>
      <c r="BQ1548" t="s">
        <v>2181</v>
      </c>
      <c r="BR1548" t="s">
        <v>82</v>
      </c>
      <c r="BS1548" t="s">
        <v>500</v>
      </c>
      <c r="BY1548">
        <v>1200</v>
      </c>
      <c r="CC1548" t="s">
        <v>101</v>
      </c>
      <c r="CD1548">
        <v>4071</v>
      </c>
      <c r="CE1548" t="s">
        <v>134</v>
      </c>
      <c r="CI1548">
        <v>1</v>
      </c>
      <c r="CJ1548" t="s">
        <v>500</v>
      </c>
      <c r="CK1548">
        <v>21</v>
      </c>
      <c r="CL1548" t="s">
        <v>87</v>
      </c>
    </row>
    <row r="1549" spans="1:90" x14ac:dyDescent="0.3">
      <c r="A1549" t="s">
        <v>72</v>
      </c>
      <c r="B1549" t="s">
        <v>73</v>
      </c>
      <c r="C1549" t="s">
        <v>74</v>
      </c>
      <c r="E1549" t="str">
        <f>"080069844129"</f>
        <v>080069844129</v>
      </c>
      <c r="F1549" s="3">
        <v>46002</v>
      </c>
      <c r="G1549">
        <v>202609</v>
      </c>
      <c r="H1549" t="s">
        <v>75</v>
      </c>
      <c r="I1549" t="s">
        <v>76</v>
      </c>
      <c r="J1549" t="s">
        <v>77</v>
      </c>
      <c r="K1549" t="s">
        <v>78</v>
      </c>
      <c r="L1549" t="s">
        <v>75</v>
      </c>
      <c r="M1549" t="s">
        <v>76</v>
      </c>
      <c r="N1549" t="s">
        <v>543</v>
      </c>
      <c r="O1549" t="s">
        <v>340</v>
      </c>
      <c r="P1549" t="str">
        <f>"4170073035                    "</f>
        <v xml:space="preserve">4170073035                    </v>
      </c>
      <c r="Q1549">
        <v>0</v>
      </c>
      <c r="R1549">
        <v>0</v>
      </c>
      <c r="S1549">
        <v>0</v>
      </c>
      <c r="T1549">
        <v>0</v>
      </c>
      <c r="U1549">
        <v>0</v>
      </c>
      <c r="V1549">
        <v>0</v>
      </c>
      <c r="W1549">
        <v>0</v>
      </c>
      <c r="X1549">
        <v>0</v>
      </c>
      <c r="Y1549">
        <v>0</v>
      </c>
      <c r="Z1549">
        <v>0</v>
      </c>
      <c r="AA1549">
        <v>0</v>
      </c>
      <c r="AB1549">
        <v>0</v>
      </c>
      <c r="AC1549">
        <v>0</v>
      </c>
      <c r="AD1549">
        <v>0</v>
      </c>
      <c r="AE1549">
        <v>0</v>
      </c>
      <c r="AF1549">
        <v>0</v>
      </c>
      <c r="AG1549">
        <v>0</v>
      </c>
      <c r="AH1549">
        <v>0</v>
      </c>
      <c r="AI1549">
        <v>0</v>
      </c>
      <c r="AJ1549">
        <v>0</v>
      </c>
      <c r="AK1549">
        <v>0</v>
      </c>
      <c r="AL1549">
        <v>0</v>
      </c>
      <c r="AM1549">
        <v>0</v>
      </c>
      <c r="AN1549">
        <v>0</v>
      </c>
      <c r="AO1549">
        <v>0</v>
      </c>
      <c r="AP1549">
        <v>0</v>
      </c>
      <c r="AQ1549">
        <v>22.18</v>
      </c>
      <c r="AR1549">
        <v>0</v>
      </c>
      <c r="AS1549">
        <v>0</v>
      </c>
      <c r="AT1549">
        <v>0</v>
      </c>
      <c r="AU1549">
        <v>0</v>
      </c>
      <c r="AV1549">
        <v>0</v>
      </c>
      <c r="AW1549">
        <v>0</v>
      </c>
      <c r="AX1549">
        <v>0</v>
      </c>
      <c r="AY1549">
        <v>0</v>
      </c>
      <c r="AZ1549">
        <v>0</v>
      </c>
      <c r="BA1549">
        <v>0</v>
      </c>
      <c r="BB1549">
        <v>0</v>
      </c>
      <c r="BC1549">
        <v>0</v>
      </c>
      <c r="BD1549">
        <v>0</v>
      </c>
      <c r="BE1549">
        <v>0</v>
      </c>
      <c r="BF1549">
        <v>0</v>
      </c>
      <c r="BG1549">
        <v>0</v>
      </c>
      <c r="BH1549">
        <v>1</v>
      </c>
      <c r="BI1549">
        <v>6</v>
      </c>
      <c r="BJ1549">
        <v>8.1</v>
      </c>
      <c r="BK1549">
        <v>9</v>
      </c>
      <c r="BL1549">
        <v>66.099999999999994</v>
      </c>
      <c r="BM1549">
        <v>9.92</v>
      </c>
      <c r="BN1549">
        <v>76.02</v>
      </c>
      <c r="BO1549">
        <v>76.02</v>
      </c>
      <c r="BQ1549" t="s">
        <v>544</v>
      </c>
      <c r="BR1549" t="s">
        <v>82</v>
      </c>
      <c r="BS1549" t="s">
        <v>500</v>
      </c>
      <c r="BY1549">
        <v>40432</v>
      </c>
      <c r="CC1549" t="s">
        <v>76</v>
      </c>
      <c r="CD1549">
        <v>1666</v>
      </c>
      <c r="CE1549" t="s">
        <v>93</v>
      </c>
      <c r="CI1549">
        <v>1</v>
      </c>
      <c r="CJ1549" t="s">
        <v>500</v>
      </c>
      <c r="CK1549">
        <v>32</v>
      </c>
      <c r="CL1549" t="s">
        <v>87</v>
      </c>
    </row>
    <row r="1550" spans="1:90" x14ac:dyDescent="0.3">
      <c r="A1550" t="s">
        <v>72</v>
      </c>
      <c r="B1550" t="s">
        <v>73</v>
      </c>
      <c r="C1550" t="s">
        <v>74</v>
      </c>
      <c r="E1550" t="str">
        <f>"080069844154"</f>
        <v>080069844154</v>
      </c>
      <c r="F1550" s="3">
        <v>46002</v>
      </c>
      <c r="G1550">
        <v>202609</v>
      </c>
      <c r="H1550" t="s">
        <v>75</v>
      </c>
      <c r="I1550" t="s">
        <v>76</v>
      </c>
      <c r="J1550" t="s">
        <v>77</v>
      </c>
      <c r="K1550" t="s">
        <v>78</v>
      </c>
      <c r="L1550" t="s">
        <v>156</v>
      </c>
      <c r="M1550" t="s">
        <v>157</v>
      </c>
      <c r="N1550" t="s">
        <v>470</v>
      </c>
      <c r="O1550" t="s">
        <v>89</v>
      </c>
      <c r="P1550" t="str">
        <f>"4170073045                    "</f>
        <v xml:space="preserve">4170073045                    </v>
      </c>
      <c r="Q1550">
        <v>0</v>
      </c>
      <c r="R1550">
        <v>0</v>
      </c>
      <c r="S1550">
        <v>0</v>
      </c>
      <c r="T1550">
        <v>0</v>
      </c>
      <c r="U1550">
        <v>0</v>
      </c>
      <c r="V1550">
        <v>0</v>
      </c>
      <c r="W1550">
        <v>0</v>
      </c>
      <c r="X1550">
        <v>0</v>
      </c>
      <c r="Y1550">
        <v>0</v>
      </c>
      <c r="Z1550">
        <v>0</v>
      </c>
      <c r="AA1550">
        <v>0</v>
      </c>
      <c r="AB1550">
        <v>0</v>
      </c>
      <c r="AC1550">
        <v>0</v>
      </c>
      <c r="AD1550">
        <v>0</v>
      </c>
      <c r="AE1550">
        <v>0</v>
      </c>
      <c r="AF1550">
        <v>0</v>
      </c>
      <c r="AG1550">
        <v>0</v>
      </c>
      <c r="AH1550">
        <v>0</v>
      </c>
      <c r="AI1550">
        <v>0</v>
      </c>
      <c r="AJ1550">
        <v>0</v>
      </c>
      <c r="AK1550">
        <v>0</v>
      </c>
      <c r="AL1550">
        <v>0</v>
      </c>
      <c r="AM1550">
        <v>0</v>
      </c>
      <c r="AN1550">
        <v>0</v>
      </c>
      <c r="AO1550">
        <v>0</v>
      </c>
      <c r="AP1550">
        <v>0</v>
      </c>
      <c r="AQ1550">
        <v>25.52</v>
      </c>
      <c r="AR1550">
        <v>0</v>
      </c>
      <c r="AS1550">
        <v>0</v>
      </c>
      <c r="AT1550">
        <v>0</v>
      </c>
      <c r="AU1550">
        <v>0</v>
      </c>
      <c r="AV1550">
        <v>0</v>
      </c>
      <c r="AW1550">
        <v>0</v>
      </c>
      <c r="AX1550">
        <v>0</v>
      </c>
      <c r="AY1550">
        <v>0</v>
      </c>
      <c r="AZ1550">
        <v>0</v>
      </c>
      <c r="BA1550">
        <v>0</v>
      </c>
      <c r="BB1550">
        <v>0</v>
      </c>
      <c r="BC1550">
        <v>0</v>
      </c>
      <c r="BD1550">
        <v>0</v>
      </c>
      <c r="BE1550">
        <v>0</v>
      </c>
      <c r="BF1550">
        <v>0</v>
      </c>
      <c r="BG1550">
        <v>0</v>
      </c>
      <c r="BH1550">
        <v>1</v>
      </c>
      <c r="BI1550">
        <v>1</v>
      </c>
      <c r="BJ1550">
        <v>0.2</v>
      </c>
      <c r="BK1550">
        <v>1</v>
      </c>
      <c r="BL1550">
        <v>76.06</v>
      </c>
      <c r="BM1550">
        <v>11.41</v>
      </c>
      <c r="BN1550">
        <v>87.47</v>
      </c>
      <c r="BO1550">
        <v>87.47</v>
      </c>
      <c r="BQ1550" t="s">
        <v>471</v>
      </c>
      <c r="BR1550" t="s">
        <v>82</v>
      </c>
      <c r="BS1550" t="s">
        <v>500</v>
      </c>
      <c r="BY1550">
        <v>1200</v>
      </c>
      <c r="CC1550" t="s">
        <v>157</v>
      </c>
      <c r="CD1550">
        <v>7480</v>
      </c>
      <c r="CE1550" t="s">
        <v>134</v>
      </c>
      <c r="CI1550">
        <v>1</v>
      </c>
      <c r="CJ1550" t="s">
        <v>500</v>
      </c>
      <c r="CK1550">
        <v>21</v>
      </c>
      <c r="CL1550" t="s">
        <v>87</v>
      </c>
    </row>
    <row r="1551" spans="1:90" x14ac:dyDescent="0.3">
      <c r="A1551" t="s">
        <v>72</v>
      </c>
      <c r="B1551" t="s">
        <v>73</v>
      </c>
      <c r="C1551" t="s">
        <v>74</v>
      </c>
      <c r="E1551" t="str">
        <f>"080069844176"</f>
        <v>080069844176</v>
      </c>
      <c r="F1551" s="3">
        <v>46002</v>
      </c>
      <c r="G1551">
        <v>202609</v>
      </c>
      <c r="H1551" t="s">
        <v>75</v>
      </c>
      <c r="I1551" t="s">
        <v>76</v>
      </c>
      <c r="J1551" t="s">
        <v>77</v>
      </c>
      <c r="K1551" t="s">
        <v>78</v>
      </c>
      <c r="L1551" t="s">
        <v>1595</v>
      </c>
      <c r="M1551" t="s">
        <v>1596</v>
      </c>
      <c r="N1551" t="s">
        <v>249</v>
      </c>
      <c r="O1551" t="s">
        <v>89</v>
      </c>
      <c r="P1551" t="str">
        <f>"4170073040                    "</f>
        <v xml:space="preserve">4170073040                    </v>
      </c>
      <c r="Q1551">
        <v>0</v>
      </c>
      <c r="R1551">
        <v>0</v>
      </c>
      <c r="S1551">
        <v>0</v>
      </c>
      <c r="T1551">
        <v>0</v>
      </c>
      <c r="U1551">
        <v>0</v>
      </c>
      <c r="V1551">
        <v>0</v>
      </c>
      <c r="W1551">
        <v>0</v>
      </c>
      <c r="X1551">
        <v>0</v>
      </c>
      <c r="Y1551">
        <v>0</v>
      </c>
      <c r="Z1551">
        <v>0</v>
      </c>
      <c r="AA1551">
        <v>0</v>
      </c>
      <c r="AB1551">
        <v>0</v>
      </c>
      <c r="AC1551">
        <v>0</v>
      </c>
      <c r="AD1551">
        <v>0</v>
      </c>
      <c r="AE1551">
        <v>0</v>
      </c>
      <c r="AF1551">
        <v>0</v>
      </c>
      <c r="AG1551">
        <v>0</v>
      </c>
      <c r="AH1551">
        <v>0</v>
      </c>
      <c r="AI1551">
        <v>0</v>
      </c>
      <c r="AJ1551">
        <v>0</v>
      </c>
      <c r="AK1551">
        <v>0</v>
      </c>
      <c r="AL1551">
        <v>0</v>
      </c>
      <c r="AM1551">
        <v>0</v>
      </c>
      <c r="AN1551">
        <v>0</v>
      </c>
      <c r="AO1551">
        <v>0</v>
      </c>
      <c r="AP1551">
        <v>0</v>
      </c>
      <c r="AQ1551">
        <v>25.52</v>
      </c>
      <c r="AR1551">
        <v>0</v>
      </c>
      <c r="AS1551">
        <v>0</v>
      </c>
      <c r="AT1551">
        <v>0</v>
      </c>
      <c r="AU1551">
        <v>0</v>
      </c>
      <c r="AV1551">
        <v>0</v>
      </c>
      <c r="AW1551">
        <v>0</v>
      </c>
      <c r="AX1551">
        <v>0</v>
      </c>
      <c r="AY1551">
        <v>0</v>
      </c>
      <c r="AZ1551">
        <v>0</v>
      </c>
      <c r="BA1551">
        <v>0</v>
      </c>
      <c r="BB1551">
        <v>0</v>
      </c>
      <c r="BC1551">
        <v>0</v>
      </c>
      <c r="BD1551">
        <v>0</v>
      </c>
      <c r="BE1551">
        <v>0</v>
      </c>
      <c r="BF1551">
        <v>0</v>
      </c>
      <c r="BG1551">
        <v>0</v>
      </c>
      <c r="BH1551">
        <v>1</v>
      </c>
      <c r="BI1551">
        <v>1</v>
      </c>
      <c r="BJ1551">
        <v>0.2</v>
      </c>
      <c r="BK1551">
        <v>1</v>
      </c>
      <c r="BL1551">
        <v>76.06</v>
      </c>
      <c r="BM1551">
        <v>11.41</v>
      </c>
      <c r="BN1551">
        <v>87.47</v>
      </c>
      <c r="BO1551">
        <v>87.47</v>
      </c>
      <c r="BQ1551" t="s">
        <v>250</v>
      </c>
      <c r="BR1551" t="s">
        <v>82</v>
      </c>
      <c r="BS1551" t="s">
        <v>500</v>
      </c>
      <c r="BY1551">
        <v>1200</v>
      </c>
      <c r="CC1551" t="s">
        <v>1596</v>
      </c>
      <c r="CD1551" s="5" t="s">
        <v>1599</v>
      </c>
      <c r="CE1551" t="s">
        <v>134</v>
      </c>
      <c r="CI1551">
        <v>1</v>
      </c>
      <c r="CJ1551" t="s">
        <v>500</v>
      </c>
      <c r="CK1551">
        <v>21</v>
      </c>
      <c r="CL1551" t="s">
        <v>87</v>
      </c>
    </row>
    <row r="1552" spans="1:90" x14ac:dyDescent="0.3">
      <c r="A1552" t="s">
        <v>72</v>
      </c>
      <c r="B1552" t="s">
        <v>73</v>
      </c>
      <c r="C1552" t="s">
        <v>74</v>
      </c>
      <c r="E1552" t="str">
        <f>"080069844207"</f>
        <v>080069844207</v>
      </c>
      <c r="F1552" s="3">
        <v>46002</v>
      </c>
      <c r="G1552">
        <v>202609</v>
      </c>
      <c r="H1552" t="s">
        <v>75</v>
      </c>
      <c r="I1552" t="s">
        <v>76</v>
      </c>
      <c r="J1552" t="s">
        <v>77</v>
      </c>
      <c r="K1552" t="s">
        <v>78</v>
      </c>
      <c r="L1552" t="s">
        <v>100</v>
      </c>
      <c r="M1552" t="s">
        <v>101</v>
      </c>
      <c r="N1552" t="s">
        <v>2182</v>
      </c>
      <c r="O1552" t="s">
        <v>89</v>
      </c>
      <c r="P1552" t="str">
        <f>"4170073076                    "</f>
        <v xml:space="preserve">4170073076                    </v>
      </c>
      <c r="Q1552">
        <v>0</v>
      </c>
      <c r="R1552">
        <v>0</v>
      </c>
      <c r="S1552">
        <v>0</v>
      </c>
      <c r="T1552">
        <v>0</v>
      </c>
      <c r="U1552">
        <v>0</v>
      </c>
      <c r="V1552">
        <v>0</v>
      </c>
      <c r="W1552">
        <v>0</v>
      </c>
      <c r="X1552">
        <v>0</v>
      </c>
      <c r="Y1552">
        <v>0</v>
      </c>
      <c r="Z1552">
        <v>0</v>
      </c>
      <c r="AA1552">
        <v>0</v>
      </c>
      <c r="AB1552">
        <v>0</v>
      </c>
      <c r="AC1552">
        <v>0</v>
      </c>
      <c r="AD1552">
        <v>0</v>
      </c>
      <c r="AE1552">
        <v>0</v>
      </c>
      <c r="AF1552">
        <v>0</v>
      </c>
      <c r="AG1552">
        <v>0</v>
      </c>
      <c r="AH1552">
        <v>0</v>
      </c>
      <c r="AI1552">
        <v>0</v>
      </c>
      <c r="AJ1552">
        <v>0</v>
      </c>
      <c r="AK1552">
        <v>0</v>
      </c>
      <c r="AL1552">
        <v>0</v>
      </c>
      <c r="AM1552">
        <v>0</v>
      </c>
      <c r="AN1552">
        <v>0</v>
      </c>
      <c r="AO1552">
        <v>0</v>
      </c>
      <c r="AP1552">
        <v>0</v>
      </c>
      <c r="AQ1552">
        <v>25.52</v>
      </c>
      <c r="AR1552">
        <v>0</v>
      </c>
      <c r="AS1552">
        <v>0</v>
      </c>
      <c r="AT1552">
        <v>0</v>
      </c>
      <c r="AU1552">
        <v>0</v>
      </c>
      <c r="AV1552">
        <v>0</v>
      </c>
      <c r="AW1552">
        <v>0</v>
      </c>
      <c r="AX1552">
        <v>0</v>
      </c>
      <c r="AY1552">
        <v>0</v>
      </c>
      <c r="AZ1552">
        <v>0</v>
      </c>
      <c r="BA1552">
        <v>0</v>
      </c>
      <c r="BB1552">
        <v>0</v>
      </c>
      <c r="BC1552">
        <v>0</v>
      </c>
      <c r="BD1552">
        <v>0</v>
      </c>
      <c r="BE1552">
        <v>0</v>
      </c>
      <c r="BF1552">
        <v>0</v>
      </c>
      <c r="BG1552">
        <v>0</v>
      </c>
      <c r="BH1552">
        <v>1</v>
      </c>
      <c r="BI1552">
        <v>1</v>
      </c>
      <c r="BJ1552">
        <v>0.2</v>
      </c>
      <c r="BK1552">
        <v>1</v>
      </c>
      <c r="BL1552">
        <v>76.06</v>
      </c>
      <c r="BM1552">
        <v>11.41</v>
      </c>
      <c r="BN1552">
        <v>87.47</v>
      </c>
      <c r="BO1552">
        <v>87.47</v>
      </c>
      <c r="BQ1552" t="s">
        <v>2183</v>
      </c>
      <c r="BR1552" t="s">
        <v>82</v>
      </c>
      <c r="BS1552" t="s">
        <v>500</v>
      </c>
      <c r="BY1552">
        <v>1200</v>
      </c>
      <c r="CC1552" t="s">
        <v>101</v>
      </c>
      <c r="CD1552">
        <v>4052</v>
      </c>
      <c r="CE1552" t="s">
        <v>134</v>
      </c>
      <c r="CI1552">
        <v>1</v>
      </c>
      <c r="CJ1552" t="s">
        <v>500</v>
      </c>
      <c r="CK1552">
        <v>21</v>
      </c>
      <c r="CL1552" t="s">
        <v>87</v>
      </c>
    </row>
    <row r="1553" spans="1:90" x14ac:dyDescent="0.3">
      <c r="A1553" t="s">
        <v>72</v>
      </c>
      <c r="B1553" t="s">
        <v>73</v>
      </c>
      <c r="C1553" t="s">
        <v>74</v>
      </c>
      <c r="E1553" t="str">
        <f>"080069844227"</f>
        <v>080069844227</v>
      </c>
      <c r="F1553" s="3">
        <v>46002</v>
      </c>
      <c r="G1553">
        <v>202609</v>
      </c>
      <c r="H1553" t="s">
        <v>75</v>
      </c>
      <c r="I1553" t="s">
        <v>76</v>
      </c>
      <c r="J1553" t="s">
        <v>77</v>
      </c>
      <c r="K1553" t="s">
        <v>78</v>
      </c>
      <c r="L1553" t="s">
        <v>141</v>
      </c>
      <c r="M1553" t="s">
        <v>142</v>
      </c>
      <c r="N1553" t="s">
        <v>324</v>
      </c>
      <c r="O1553" t="s">
        <v>89</v>
      </c>
      <c r="P1553" t="str">
        <f>"4170073003                    "</f>
        <v xml:space="preserve">4170073003                    </v>
      </c>
      <c r="Q1553">
        <v>0</v>
      </c>
      <c r="R1553">
        <v>0</v>
      </c>
      <c r="S1553">
        <v>0</v>
      </c>
      <c r="T1553">
        <v>0</v>
      </c>
      <c r="U1553">
        <v>0</v>
      </c>
      <c r="V1553">
        <v>0</v>
      </c>
      <c r="W1553">
        <v>0</v>
      </c>
      <c r="X1553">
        <v>0</v>
      </c>
      <c r="Y1553">
        <v>0</v>
      </c>
      <c r="Z1553">
        <v>0</v>
      </c>
      <c r="AA1553">
        <v>0</v>
      </c>
      <c r="AB1553">
        <v>0</v>
      </c>
      <c r="AC1553">
        <v>0</v>
      </c>
      <c r="AD1553">
        <v>0</v>
      </c>
      <c r="AE1553">
        <v>0</v>
      </c>
      <c r="AF1553">
        <v>0</v>
      </c>
      <c r="AG1553">
        <v>0</v>
      </c>
      <c r="AH1553">
        <v>0</v>
      </c>
      <c r="AI1553">
        <v>0</v>
      </c>
      <c r="AJ1553">
        <v>0</v>
      </c>
      <c r="AK1553">
        <v>0</v>
      </c>
      <c r="AL1553">
        <v>0</v>
      </c>
      <c r="AM1553">
        <v>0</v>
      </c>
      <c r="AN1553">
        <v>0</v>
      </c>
      <c r="AO1553">
        <v>0</v>
      </c>
      <c r="AP1553">
        <v>0</v>
      </c>
      <c r="AQ1553">
        <v>38.28</v>
      </c>
      <c r="AR1553">
        <v>0</v>
      </c>
      <c r="AS1553">
        <v>0</v>
      </c>
      <c r="AT1553">
        <v>0</v>
      </c>
      <c r="AU1553">
        <v>0</v>
      </c>
      <c r="AV1553">
        <v>0</v>
      </c>
      <c r="AW1553">
        <v>0</v>
      </c>
      <c r="AX1553">
        <v>0</v>
      </c>
      <c r="AY1553">
        <v>0</v>
      </c>
      <c r="AZ1553">
        <v>0</v>
      </c>
      <c r="BA1553">
        <v>0</v>
      </c>
      <c r="BB1553">
        <v>0</v>
      </c>
      <c r="BC1553">
        <v>0</v>
      </c>
      <c r="BD1553">
        <v>0</v>
      </c>
      <c r="BE1553">
        <v>0</v>
      </c>
      <c r="BF1553">
        <v>0</v>
      </c>
      <c r="BG1553">
        <v>0</v>
      </c>
      <c r="BH1553">
        <v>1</v>
      </c>
      <c r="BI1553">
        <v>3</v>
      </c>
      <c r="BJ1553">
        <v>1.3</v>
      </c>
      <c r="BK1553">
        <v>3</v>
      </c>
      <c r="BL1553">
        <v>114.08</v>
      </c>
      <c r="BM1553">
        <v>17.11</v>
      </c>
      <c r="BN1553">
        <v>131.19</v>
      </c>
      <c r="BO1553">
        <v>131.19</v>
      </c>
      <c r="BQ1553" t="s">
        <v>325</v>
      </c>
      <c r="BR1553" t="s">
        <v>82</v>
      </c>
      <c r="BS1553" t="s">
        <v>500</v>
      </c>
      <c r="BY1553">
        <v>6624</v>
      </c>
      <c r="CC1553" t="s">
        <v>142</v>
      </c>
      <c r="CD1553">
        <v>6001</v>
      </c>
      <c r="CE1553" t="s">
        <v>93</v>
      </c>
      <c r="CI1553">
        <v>1</v>
      </c>
      <c r="CJ1553" t="s">
        <v>500</v>
      </c>
      <c r="CK1553">
        <v>21</v>
      </c>
      <c r="CL1553" t="s">
        <v>87</v>
      </c>
    </row>
    <row r="1554" spans="1:90" x14ac:dyDescent="0.3">
      <c r="A1554" t="s">
        <v>72</v>
      </c>
      <c r="B1554" t="s">
        <v>73</v>
      </c>
      <c r="C1554" t="s">
        <v>74</v>
      </c>
      <c r="E1554" t="str">
        <f>"080069844244"</f>
        <v>080069844244</v>
      </c>
      <c r="F1554" s="3">
        <v>46002</v>
      </c>
      <c r="G1554">
        <v>202609</v>
      </c>
      <c r="H1554" t="s">
        <v>75</v>
      </c>
      <c r="I1554" t="s">
        <v>76</v>
      </c>
      <c r="J1554" t="s">
        <v>77</v>
      </c>
      <c r="K1554" t="s">
        <v>78</v>
      </c>
      <c r="L1554" t="s">
        <v>156</v>
      </c>
      <c r="M1554" t="s">
        <v>157</v>
      </c>
      <c r="N1554" t="s">
        <v>470</v>
      </c>
      <c r="O1554" t="s">
        <v>89</v>
      </c>
      <c r="P1554" t="str">
        <f>"4170073114                    "</f>
        <v xml:space="preserve">4170073114                    </v>
      </c>
      <c r="Q1554">
        <v>0</v>
      </c>
      <c r="R1554">
        <v>0</v>
      </c>
      <c r="S1554">
        <v>0</v>
      </c>
      <c r="T1554">
        <v>0</v>
      </c>
      <c r="U1554">
        <v>0</v>
      </c>
      <c r="V1554">
        <v>0</v>
      </c>
      <c r="W1554">
        <v>0</v>
      </c>
      <c r="X1554">
        <v>0</v>
      </c>
      <c r="Y1554">
        <v>0</v>
      </c>
      <c r="Z1554">
        <v>0</v>
      </c>
      <c r="AA1554">
        <v>0</v>
      </c>
      <c r="AB1554">
        <v>0</v>
      </c>
      <c r="AC1554">
        <v>0</v>
      </c>
      <c r="AD1554">
        <v>0</v>
      </c>
      <c r="AE1554">
        <v>0</v>
      </c>
      <c r="AF1554">
        <v>0</v>
      </c>
      <c r="AG1554">
        <v>0</v>
      </c>
      <c r="AH1554">
        <v>0</v>
      </c>
      <c r="AI1554">
        <v>0</v>
      </c>
      <c r="AJ1554">
        <v>0</v>
      </c>
      <c r="AK1554">
        <v>0</v>
      </c>
      <c r="AL1554">
        <v>0</v>
      </c>
      <c r="AM1554">
        <v>0</v>
      </c>
      <c r="AN1554">
        <v>0</v>
      </c>
      <c r="AO1554">
        <v>0</v>
      </c>
      <c r="AP1554">
        <v>0</v>
      </c>
      <c r="AQ1554">
        <v>25.52</v>
      </c>
      <c r="AR1554">
        <v>0</v>
      </c>
      <c r="AS1554">
        <v>0</v>
      </c>
      <c r="AT1554">
        <v>0</v>
      </c>
      <c r="AU1554">
        <v>0</v>
      </c>
      <c r="AV1554">
        <v>0</v>
      </c>
      <c r="AW1554">
        <v>0</v>
      </c>
      <c r="AX1554">
        <v>0</v>
      </c>
      <c r="AY1554">
        <v>0</v>
      </c>
      <c r="AZ1554">
        <v>0</v>
      </c>
      <c r="BA1554">
        <v>0</v>
      </c>
      <c r="BB1554">
        <v>0</v>
      </c>
      <c r="BC1554">
        <v>0</v>
      </c>
      <c r="BD1554">
        <v>0</v>
      </c>
      <c r="BE1554">
        <v>0</v>
      </c>
      <c r="BF1554">
        <v>0</v>
      </c>
      <c r="BG1554">
        <v>0</v>
      </c>
      <c r="BH1554">
        <v>1</v>
      </c>
      <c r="BI1554">
        <v>2</v>
      </c>
      <c r="BJ1554">
        <v>1.1000000000000001</v>
      </c>
      <c r="BK1554">
        <v>2</v>
      </c>
      <c r="BL1554">
        <v>76.06</v>
      </c>
      <c r="BM1554">
        <v>11.41</v>
      </c>
      <c r="BN1554">
        <v>87.47</v>
      </c>
      <c r="BO1554">
        <v>87.47</v>
      </c>
      <c r="BQ1554" t="s">
        <v>471</v>
      </c>
      <c r="BR1554" t="s">
        <v>82</v>
      </c>
      <c r="BS1554" t="s">
        <v>500</v>
      </c>
      <c r="BY1554">
        <v>5320</v>
      </c>
      <c r="CC1554" t="s">
        <v>157</v>
      </c>
      <c r="CD1554">
        <v>7480</v>
      </c>
      <c r="CE1554" t="s">
        <v>86</v>
      </c>
      <c r="CI1554">
        <v>1</v>
      </c>
      <c r="CJ1554" t="s">
        <v>500</v>
      </c>
      <c r="CK1554">
        <v>21</v>
      </c>
      <c r="CL1554" t="s">
        <v>87</v>
      </c>
    </row>
    <row r="1555" spans="1:90" x14ac:dyDescent="0.3">
      <c r="A1555" t="s">
        <v>72</v>
      </c>
      <c r="B1555" t="s">
        <v>73</v>
      </c>
      <c r="C1555" t="s">
        <v>74</v>
      </c>
      <c r="E1555" t="str">
        <f>"080069844276"</f>
        <v>080069844276</v>
      </c>
      <c r="F1555" s="3">
        <v>46002</v>
      </c>
      <c r="G1555">
        <v>202609</v>
      </c>
      <c r="H1555" t="s">
        <v>75</v>
      </c>
      <c r="I1555" t="s">
        <v>76</v>
      </c>
      <c r="J1555" t="s">
        <v>77</v>
      </c>
      <c r="K1555" t="s">
        <v>78</v>
      </c>
      <c r="L1555" t="s">
        <v>100</v>
      </c>
      <c r="M1555" t="s">
        <v>101</v>
      </c>
      <c r="N1555" t="s">
        <v>498</v>
      </c>
      <c r="O1555" t="s">
        <v>89</v>
      </c>
      <c r="P1555" t="str">
        <f>"4170073018                    "</f>
        <v xml:space="preserve">4170073018                    </v>
      </c>
      <c r="Q1555">
        <v>0</v>
      </c>
      <c r="R1555">
        <v>0</v>
      </c>
      <c r="S1555">
        <v>0</v>
      </c>
      <c r="T1555">
        <v>0</v>
      </c>
      <c r="U1555">
        <v>0</v>
      </c>
      <c r="V1555">
        <v>0</v>
      </c>
      <c r="W1555">
        <v>0</v>
      </c>
      <c r="X1555">
        <v>0</v>
      </c>
      <c r="Y1555">
        <v>0</v>
      </c>
      <c r="Z1555">
        <v>0</v>
      </c>
      <c r="AA1555">
        <v>0</v>
      </c>
      <c r="AB1555">
        <v>0</v>
      </c>
      <c r="AC1555">
        <v>0</v>
      </c>
      <c r="AD1555">
        <v>0</v>
      </c>
      <c r="AE1555">
        <v>0</v>
      </c>
      <c r="AF1555">
        <v>0</v>
      </c>
      <c r="AG1555">
        <v>0</v>
      </c>
      <c r="AH1555">
        <v>0</v>
      </c>
      <c r="AI1555">
        <v>0</v>
      </c>
      <c r="AJ1555">
        <v>0</v>
      </c>
      <c r="AK1555">
        <v>0</v>
      </c>
      <c r="AL1555">
        <v>0</v>
      </c>
      <c r="AM1555">
        <v>0</v>
      </c>
      <c r="AN1555">
        <v>0</v>
      </c>
      <c r="AO1555">
        <v>0</v>
      </c>
      <c r="AP1555">
        <v>0</v>
      </c>
      <c r="AQ1555">
        <v>51.04</v>
      </c>
      <c r="AR1555">
        <v>0</v>
      </c>
      <c r="AS1555">
        <v>0</v>
      </c>
      <c r="AT1555">
        <v>0</v>
      </c>
      <c r="AU1555">
        <v>0</v>
      </c>
      <c r="AV1555">
        <v>0</v>
      </c>
      <c r="AW1555">
        <v>0</v>
      </c>
      <c r="AX1555">
        <v>0</v>
      </c>
      <c r="AY1555">
        <v>0</v>
      </c>
      <c r="AZ1555">
        <v>0</v>
      </c>
      <c r="BA1555">
        <v>0</v>
      </c>
      <c r="BB1555">
        <v>0</v>
      </c>
      <c r="BC1555">
        <v>0</v>
      </c>
      <c r="BD1555">
        <v>0</v>
      </c>
      <c r="BE1555">
        <v>0</v>
      </c>
      <c r="BF1555">
        <v>0</v>
      </c>
      <c r="BG1555">
        <v>0</v>
      </c>
      <c r="BH1555">
        <v>1</v>
      </c>
      <c r="BI1555">
        <v>2</v>
      </c>
      <c r="BJ1555">
        <v>3.8</v>
      </c>
      <c r="BK1555">
        <v>4</v>
      </c>
      <c r="BL1555">
        <v>152.1</v>
      </c>
      <c r="BM1555">
        <v>22.82</v>
      </c>
      <c r="BN1555">
        <v>174.92</v>
      </c>
      <c r="BO1555">
        <v>174.92</v>
      </c>
      <c r="BQ1555" t="s">
        <v>499</v>
      </c>
      <c r="BR1555" t="s">
        <v>82</v>
      </c>
      <c r="BS1555" t="s">
        <v>500</v>
      </c>
      <c r="BY1555">
        <v>19227</v>
      </c>
      <c r="CC1555" t="s">
        <v>101</v>
      </c>
      <c r="CD1555">
        <v>4052</v>
      </c>
      <c r="CE1555" t="s">
        <v>93</v>
      </c>
      <c r="CI1555">
        <v>1</v>
      </c>
      <c r="CJ1555" t="s">
        <v>500</v>
      </c>
      <c r="CK1555">
        <v>21</v>
      </c>
      <c r="CL1555" t="s">
        <v>87</v>
      </c>
    </row>
    <row r="1556" spans="1:90" x14ac:dyDescent="0.3">
      <c r="A1556" t="s">
        <v>72</v>
      </c>
      <c r="B1556" t="s">
        <v>73</v>
      </c>
      <c r="C1556" t="s">
        <v>74</v>
      </c>
      <c r="E1556" t="str">
        <f>"080069844290"</f>
        <v>080069844290</v>
      </c>
      <c r="F1556" s="3">
        <v>46002</v>
      </c>
      <c r="G1556">
        <v>202609</v>
      </c>
      <c r="H1556" t="s">
        <v>75</v>
      </c>
      <c r="I1556" t="s">
        <v>76</v>
      </c>
      <c r="J1556" t="s">
        <v>77</v>
      </c>
      <c r="K1556" t="s">
        <v>78</v>
      </c>
      <c r="L1556" t="s">
        <v>100</v>
      </c>
      <c r="M1556" t="s">
        <v>101</v>
      </c>
      <c r="N1556" t="s">
        <v>2184</v>
      </c>
      <c r="O1556" t="s">
        <v>89</v>
      </c>
      <c r="P1556" t="str">
        <f>"4170072969                    "</f>
        <v xml:space="preserve">4170072969                    </v>
      </c>
      <c r="Q1556">
        <v>0</v>
      </c>
      <c r="R1556">
        <v>0</v>
      </c>
      <c r="S1556">
        <v>0</v>
      </c>
      <c r="T1556">
        <v>0</v>
      </c>
      <c r="U1556">
        <v>0</v>
      </c>
      <c r="V1556">
        <v>0</v>
      </c>
      <c r="W1556">
        <v>0</v>
      </c>
      <c r="X1556">
        <v>0</v>
      </c>
      <c r="Y1556">
        <v>0</v>
      </c>
      <c r="Z1556">
        <v>0</v>
      </c>
      <c r="AA1556">
        <v>0</v>
      </c>
      <c r="AB1556">
        <v>0</v>
      </c>
      <c r="AC1556">
        <v>0</v>
      </c>
      <c r="AD1556">
        <v>0</v>
      </c>
      <c r="AE1556">
        <v>0</v>
      </c>
      <c r="AF1556">
        <v>0</v>
      </c>
      <c r="AG1556">
        <v>0</v>
      </c>
      <c r="AH1556">
        <v>0</v>
      </c>
      <c r="AI1556">
        <v>0</v>
      </c>
      <c r="AJ1556">
        <v>0</v>
      </c>
      <c r="AK1556">
        <v>0</v>
      </c>
      <c r="AL1556">
        <v>0</v>
      </c>
      <c r="AM1556">
        <v>0</v>
      </c>
      <c r="AN1556">
        <v>0</v>
      </c>
      <c r="AO1556">
        <v>0</v>
      </c>
      <c r="AP1556">
        <v>0</v>
      </c>
      <c r="AQ1556">
        <v>25.52</v>
      </c>
      <c r="AR1556">
        <v>0</v>
      </c>
      <c r="AS1556">
        <v>0</v>
      </c>
      <c r="AT1556">
        <v>0</v>
      </c>
      <c r="AU1556">
        <v>0</v>
      </c>
      <c r="AV1556">
        <v>0</v>
      </c>
      <c r="AW1556">
        <v>0</v>
      </c>
      <c r="AX1556">
        <v>0</v>
      </c>
      <c r="AY1556">
        <v>0</v>
      </c>
      <c r="AZ1556">
        <v>0</v>
      </c>
      <c r="BA1556">
        <v>0</v>
      </c>
      <c r="BB1556">
        <v>0</v>
      </c>
      <c r="BC1556">
        <v>0</v>
      </c>
      <c r="BD1556">
        <v>0</v>
      </c>
      <c r="BE1556">
        <v>0</v>
      </c>
      <c r="BF1556">
        <v>0</v>
      </c>
      <c r="BG1556">
        <v>0</v>
      </c>
      <c r="BH1556">
        <v>1</v>
      </c>
      <c r="BI1556">
        <v>1</v>
      </c>
      <c r="BJ1556">
        <v>0.2</v>
      </c>
      <c r="BK1556">
        <v>1</v>
      </c>
      <c r="BL1556">
        <v>76.06</v>
      </c>
      <c r="BM1556">
        <v>11.41</v>
      </c>
      <c r="BN1556">
        <v>87.47</v>
      </c>
      <c r="BO1556">
        <v>87.47</v>
      </c>
      <c r="BQ1556" t="s">
        <v>2185</v>
      </c>
      <c r="BR1556" t="s">
        <v>82</v>
      </c>
      <c r="BS1556" t="s">
        <v>500</v>
      </c>
      <c r="BY1556">
        <v>1200</v>
      </c>
      <c r="CC1556" t="s">
        <v>101</v>
      </c>
      <c r="CD1556">
        <v>4093</v>
      </c>
      <c r="CE1556" t="s">
        <v>134</v>
      </c>
      <c r="CI1556">
        <v>1</v>
      </c>
      <c r="CJ1556" t="s">
        <v>500</v>
      </c>
      <c r="CK1556">
        <v>21</v>
      </c>
      <c r="CL1556" t="s">
        <v>87</v>
      </c>
    </row>
    <row r="1557" spans="1:90" x14ac:dyDescent="0.3">
      <c r="A1557" t="s">
        <v>72</v>
      </c>
      <c r="B1557" t="s">
        <v>73</v>
      </c>
      <c r="C1557" t="s">
        <v>74</v>
      </c>
      <c r="E1557" t="str">
        <f>"080069844298"</f>
        <v>080069844298</v>
      </c>
      <c r="F1557" s="3">
        <v>46002</v>
      </c>
      <c r="G1557">
        <v>202609</v>
      </c>
      <c r="H1557" t="s">
        <v>75</v>
      </c>
      <c r="I1557" t="s">
        <v>76</v>
      </c>
      <c r="J1557" t="s">
        <v>77</v>
      </c>
      <c r="K1557" t="s">
        <v>78</v>
      </c>
      <c r="L1557" t="s">
        <v>176</v>
      </c>
      <c r="M1557" t="s">
        <v>177</v>
      </c>
      <c r="N1557" t="s">
        <v>178</v>
      </c>
      <c r="O1557" t="s">
        <v>340</v>
      </c>
      <c r="P1557" t="str">
        <f>"4170073071                    "</f>
        <v xml:space="preserve">4170073071                    </v>
      </c>
      <c r="Q1557">
        <v>0</v>
      </c>
      <c r="R1557">
        <v>0</v>
      </c>
      <c r="S1557">
        <v>0</v>
      </c>
      <c r="T1557">
        <v>0</v>
      </c>
      <c r="U1557">
        <v>0</v>
      </c>
      <c r="V1557">
        <v>0</v>
      </c>
      <c r="W1557">
        <v>0</v>
      </c>
      <c r="X1557">
        <v>0</v>
      </c>
      <c r="Y1557">
        <v>0</v>
      </c>
      <c r="Z1557">
        <v>0</v>
      </c>
      <c r="AA1557">
        <v>0</v>
      </c>
      <c r="AB1557">
        <v>0</v>
      </c>
      <c r="AC1557">
        <v>0</v>
      </c>
      <c r="AD1557">
        <v>0</v>
      </c>
      <c r="AE1557">
        <v>0</v>
      </c>
      <c r="AF1557">
        <v>0</v>
      </c>
      <c r="AG1557">
        <v>0</v>
      </c>
      <c r="AH1557">
        <v>0</v>
      </c>
      <c r="AI1557">
        <v>0</v>
      </c>
      <c r="AJ1557">
        <v>0</v>
      </c>
      <c r="AK1557">
        <v>0</v>
      </c>
      <c r="AL1557">
        <v>0</v>
      </c>
      <c r="AM1557">
        <v>0</v>
      </c>
      <c r="AN1557">
        <v>0</v>
      </c>
      <c r="AO1557">
        <v>0</v>
      </c>
      <c r="AP1557">
        <v>0</v>
      </c>
      <c r="AQ1557">
        <v>28.89</v>
      </c>
      <c r="AR1557">
        <v>0</v>
      </c>
      <c r="AS1557">
        <v>0</v>
      </c>
      <c r="AT1557">
        <v>0</v>
      </c>
      <c r="AU1557">
        <v>0</v>
      </c>
      <c r="AV1557">
        <v>0</v>
      </c>
      <c r="AW1557">
        <v>0</v>
      </c>
      <c r="AX1557">
        <v>0</v>
      </c>
      <c r="AY1557">
        <v>0</v>
      </c>
      <c r="AZ1557">
        <v>0</v>
      </c>
      <c r="BA1557">
        <v>0</v>
      </c>
      <c r="BB1557">
        <v>0</v>
      </c>
      <c r="BC1557">
        <v>0</v>
      </c>
      <c r="BD1557">
        <v>0</v>
      </c>
      <c r="BE1557">
        <v>0</v>
      </c>
      <c r="BF1557">
        <v>0</v>
      </c>
      <c r="BG1557">
        <v>0</v>
      </c>
      <c r="BH1557">
        <v>1</v>
      </c>
      <c r="BI1557">
        <v>12</v>
      </c>
      <c r="BJ1557">
        <v>5.2</v>
      </c>
      <c r="BK1557">
        <v>12</v>
      </c>
      <c r="BL1557">
        <v>86.1</v>
      </c>
      <c r="BM1557">
        <v>12.92</v>
      </c>
      <c r="BN1557">
        <v>99.02</v>
      </c>
      <c r="BO1557">
        <v>99.02</v>
      </c>
      <c r="BQ1557" t="s">
        <v>179</v>
      </c>
      <c r="BR1557" t="s">
        <v>82</v>
      </c>
      <c r="BS1557" t="s">
        <v>500</v>
      </c>
      <c r="BY1557">
        <v>26013</v>
      </c>
      <c r="CC1557" t="s">
        <v>177</v>
      </c>
      <c r="CD1557">
        <v>2094</v>
      </c>
      <c r="CE1557" t="s">
        <v>93</v>
      </c>
      <c r="CI1557">
        <v>1</v>
      </c>
      <c r="CJ1557" t="s">
        <v>500</v>
      </c>
      <c r="CK1557">
        <v>32</v>
      </c>
      <c r="CL1557" t="s">
        <v>87</v>
      </c>
    </row>
    <row r="1558" spans="1:90" x14ac:dyDescent="0.3">
      <c r="A1558" t="s">
        <v>72</v>
      </c>
      <c r="B1558" t="s">
        <v>73</v>
      </c>
      <c r="C1558" t="s">
        <v>74</v>
      </c>
      <c r="E1558" t="str">
        <f>"080069844301"</f>
        <v>080069844301</v>
      </c>
      <c r="F1558" s="3">
        <v>46002</v>
      </c>
      <c r="G1558">
        <v>202609</v>
      </c>
      <c r="H1558" t="s">
        <v>75</v>
      </c>
      <c r="I1558" t="s">
        <v>76</v>
      </c>
      <c r="J1558" t="s">
        <v>77</v>
      </c>
      <c r="K1558" t="s">
        <v>78</v>
      </c>
      <c r="L1558" t="s">
        <v>100</v>
      </c>
      <c r="M1558" t="s">
        <v>101</v>
      </c>
      <c r="N1558" t="s">
        <v>1153</v>
      </c>
      <c r="O1558" t="s">
        <v>89</v>
      </c>
      <c r="P1558" t="str">
        <f>"4170073090                    "</f>
        <v xml:space="preserve">4170073090                    </v>
      </c>
      <c r="Q1558">
        <v>0</v>
      </c>
      <c r="R1558">
        <v>0</v>
      </c>
      <c r="S1558">
        <v>0</v>
      </c>
      <c r="T1558">
        <v>0</v>
      </c>
      <c r="U1558">
        <v>0</v>
      </c>
      <c r="V1558">
        <v>0</v>
      </c>
      <c r="W1558">
        <v>0</v>
      </c>
      <c r="X1558">
        <v>0</v>
      </c>
      <c r="Y1558">
        <v>0</v>
      </c>
      <c r="Z1558">
        <v>0</v>
      </c>
      <c r="AA1558">
        <v>0</v>
      </c>
      <c r="AB1558">
        <v>0</v>
      </c>
      <c r="AC1558">
        <v>0</v>
      </c>
      <c r="AD1558">
        <v>0</v>
      </c>
      <c r="AE1558">
        <v>0</v>
      </c>
      <c r="AF1558">
        <v>0</v>
      </c>
      <c r="AG1558">
        <v>0</v>
      </c>
      <c r="AH1558">
        <v>0</v>
      </c>
      <c r="AI1558">
        <v>0</v>
      </c>
      <c r="AJ1558">
        <v>0</v>
      </c>
      <c r="AK1558">
        <v>0</v>
      </c>
      <c r="AL1558">
        <v>0</v>
      </c>
      <c r="AM1558">
        <v>0</v>
      </c>
      <c r="AN1558">
        <v>0</v>
      </c>
      <c r="AO1558">
        <v>0</v>
      </c>
      <c r="AP1558">
        <v>0</v>
      </c>
      <c r="AQ1558">
        <v>25.52</v>
      </c>
      <c r="AR1558">
        <v>0</v>
      </c>
      <c r="AS1558">
        <v>0</v>
      </c>
      <c r="AT1558">
        <v>0</v>
      </c>
      <c r="AU1558">
        <v>0</v>
      </c>
      <c r="AV1558">
        <v>0</v>
      </c>
      <c r="AW1558">
        <v>0</v>
      </c>
      <c r="AX1558">
        <v>0</v>
      </c>
      <c r="AY1558">
        <v>0</v>
      </c>
      <c r="AZ1558">
        <v>0</v>
      </c>
      <c r="BA1558">
        <v>0</v>
      </c>
      <c r="BB1558">
        <v>0</v>
      </c>
      <c r="BC1558">
        <v>0</v>
      </c>
      <c r="BD1558">
        <v>0</v>
      </c>
      <c r="BE1558">
        <v>0</v>
      </c>
      <c r="BF1558">
        <v>0</v>
      </c>
      <c r="BG1558">
        <v>0</v>
      </c>
      <c r="BH1558">
        <v>1</v>
      </c>
      <c r="BI1558">
        <v>1</v>
      </c>
      <c r="BJ1558">
        <v>0.2</v>
      </c>
      <c r="BK1558">
        <v>1</v>
      </c>
      <c r="BL1558">
        <v>76.06</v>
      </c>
      <c r="BM1558">
        <v>11.41</v>
      </c>
      <c r="BN1558">
        <v>87.47</v>
      </c>
      <c r="BO1558">
        <v>87.47</v>
      </c>
      <c r="BQ1558" t="s">
        <v>1154</v>
      </c>
      <c r="BR1558" t="s">
        <v>82</v>
      </c>
      <c r="BS1558" t="s">
        <v>500</v>
      </c>
      <c r="BY1558">
        <v>1200</v>
      </c>
      <c r="CC1558" t="s">
        <v>101</v>
      </c>
      <c r="CD1558">
        <v>4052</v>
      </c>
      <c r="CE1558" t="s">
        <v>134</v>
      </c>
      <c r="CI1558">
        <v>1</v>
      </c>
      <c r="CJ1558" t="s">
        <v>500</v>
      </c>
      <c r="CK1558">
        <v>21</v>
      </c>
      <c r="CL1558" t="s">
        <v>87</v>
      </c>
    </row>
    <row r="1559" spans="1:90" x14ac:dyDescent="0.3">
      <c r="A1559" t="s">
        <v>72</v>
      </c>
      <c r="B1559" t="s">
        <v>73</v>
      </c>
      <c r="C1559" t="s">
        <v>74</v>
      </c>
      <c r="E1559" t="str">
        <f>"080069844325"</f>
        <v>080069844325</v>
      </c>
      <c r="F1559" s="3">
        <v>46002</v>
      </c>
      <c r="G1559">
        <v>202609</v>
      </c>
      <c r="H1559" t="s">
        <v>75</v>
      </c>
      <c r="I1559" t="s">
        <v>76</v>
      </c>
      <c r="J1559" t="s">
        <v>77</v>
      </c>
      <c r="K1559" t="s">
        <v>78</v>
      </c>
      <c r="L1559" t="s">
        <v>302</v>
      </c>
      <c r="M1559" t="s">
        <v>303</v>
      </c>
      <c r="N1559" t="s">
        <v>795</v>
      </c>
      <c r="O1559" t="s">
        <v>89</v>
      </c>
      <c r="P1559" t="str">
        <f>"4170073069                    "</f>
        <v xml:space="preserve">4170073069                    </v>
      </c>
      <c r="Q1559">
        <v>0</v>
      </c>
      <c r="R1559">
        <v>0</v>
      </c>
      <c r="S1559">
        <v>0</v>
      </c>
      <c r="T1559">
        <v>0</v>
      </c>
      <c r="U1559">
        <v>0</v>
      </c>
      <c r="V1559">
        <v>0</v>
      </c>
      <c r="W1559">
        <v>0</v>
      </c>
      <c r="X1559">
        <v>0</v>
      </c>
      <c r="Y1559">
        <v>0</v>
      </c>
      <c r="Z1559">
        <v>0</v>
      </c>
      <c r="AA1559">
        <v>0</v>
      </c>
      <c r="AB1559">
        <v>0</v>
      </c>
      <c r="AC1559">
        <v>0</v>
      </c>
      <c r="AD1559">
        <v>0</v>
      </c>
      <c r="AE1559">
        <v>0</v>
      </c>
      <c r="AF1559">
        <v>0</v>
      </c>
      <c r="AG1559">
        <v>0</v>
      </c>
      <c r="AH1559">
        <v>0</v>
      </c>
      <c r="AI1559">
        <v>0</v>
      </c>
      <c r="AJ1559">
        <v>0</v>
      </c>
      <c r="AK1559">
        <v>0</v>
      </c>
      <c r="AL1559">
        <v>0</v>
      </c>
      <c r="AM1559">
        <v>0</v>
      </c>
      <c r="AN1559">
        <v>0</v>
      </c>
      <c r="AO1559">
        <v>0</v>
      </c>
      <c r="AP1559">
        <v>0</v>
      </c>
      <c r="AQ1559">
        <v>25.52</v>
      </c>
      <c r="AR1559">
        <v>0</v>
      </c>
      <c r="AS1559">
        <v>0</v>
      </c>
      <c r="AT1559">
        <v>0</v>
      </c>
      <c r="AU1559">
        <v>0</v>
      </c>
      <c r="AV1559">
        <v>0</v>
      </c>
      <c r="AW1559">
        <v>0</v>
      </c>
      <c r="AX1559">
        <v>0</v>
      </c>
      <c r="AY1559">
        <v>0</v>
      </c>
      <c r="AZ1559">
        <v>0</v>
      </c>
      <c r="BA1559">
        <v>0</v>
      </c>
      <c r="BB1559">
        <v>0</v>
      </c>
      <c r="BC1559">
        <v>0</v>
      </c>
      <c r="BD1559">
        <v>0</v>
      </c>
      <c r="BE1559">
        <v>0</v>
      </c>
      <c r="BF1559">
        <v>0</v>
      </c>
      <c r="BG1559">
        <v>0</v>
      </c>
      <c r="BH1559">
        <v>1</v>
      </c>
      <c r="BI1559">
        <v>0.2</v>
      </c>
      <c r="BJ1559">
        <v>0.5</v>
      </c>
      <c r="BK1559">
        <v>0.5</v>
      </c>
      <c r="BL1559">
        <v>76.06</v>
      </c>
      <c r="BM1559">
        <v>11.41</v>
      </c>
      <c r="BN1559">
        <v>87.47</v>
      </c>
      <c r="BO1559">
        <v>87.47</v>
      </c>
      <c r="BQ1559" t="s">
        <v>796</v>
      </c>
      <c r="BR1559" t="s">
        <v>82</v>
      </c>
      <c r="BS1559" t="s">
        <v>500</v>
      </c>
      <c r="BY1559">
        <v>2440.36</v>
      </c>
      <c r="CC1559" t="s">
        <v>303</v>
      </c>
      <c r="CD1559" s="5" t="s">
        <v>664</v>
      </c>
      <c r="CE1559" t="s">
        <v>134</v>
      </c>
      <c r="CI1559">
        <v>1</v>
      </c>
      <c r="CJ1559" t="s">
        <v>500</v>
      </c>
      <c r="CK1559">
        <v>21</v>
      </c>
      <c r="CL1559" t="s">
        <v>87</v>
      </c>
    </row>
    <row r="1560" spans="1:90" x14ac:dyDescent="0.3">
      <c r="A1560" t="s">
        <v>72</v>
      </c>
      <c r="B1560" t="s">
        <v>73</v>
      </c>
      <c r="C1560" t="s">
        <v>74</v>
      </c>
      <c r="E1560" t="str">
        <f>"080069844345"</f>
        <v>080069844345</v>
      </c>
      <c r="F1560" s="3">
        <v>46002</v>
      </c>
      <c r="G1560">
        <v>202609</v>
      </c>
      <c r="H1560" t="s">
        <v>75</v>
      </c>
      <c r="I1560" t="s">
        <v>76</v>
      </c>
      <c r="J1560" t="s">
        <v>77</v>
      </c>
      <c r="K1560" t="s">
        <v>78</v>
      </c>
      <c r="L1560" t="s">
        <v>698</v>
      </c>
      <c r="M1560" t="s">
        <v>698</v>
      </c>
      <c r="N1560" t="s">
        <v>543</v>
      </c>
      <c r="O1560" t="s">
        <v>89</v>
      </c>
      <c r="P1560" t="str">
        <f>"4170073049                    "</f>
        <v xml:space="preserve">4170073049                    </v>
      </c>
      <c r="Q1560">
        <v>0</v>
      </c>
      <c r="R1560">
        <v>0</v>
      </c>
      <c r="S1560">
        <v>0</v>
      </c>
      <c r="T1560">
        <v>0</v>
      </c>
      <c r="U1560">
        <v>0</v>
      </c>
      <c r="V1560">
        <v>0</v>
      </c>
      <c r="W1560">
        <v>0</v>
      </c>
      <c r="X1560">
        <v>0</v>
      </c>
      <c r="Y1560">
        <v>0</v>
      </c>
      <c r="Z1560">
        <v>0</v>
      </c>
      <c r="AA1560">
        <v>0</v>
      </c>
      <c r="AB1560">
        <v>0</v>
      </c>
      <c r="AC1560">
        <v>0</v>
      </c>
      <c r="AD1560">
        <v>0</v>
      </c>
      <c r="AE1560">
        <v>0</v>
      </c>
      <c r="AF1560">
        <v>0</v>
      </c>
      <c r="AG1560">
        <v>0</v>
      </c>
      <c r="AH1560">
        <v>0</v>
      </c>
      <c r="AI1560">
        <v>0</v>
      </c>
      <c r="AJ1560">
        <v>0</v>
      </c>
      <c r="AK1560">
        <v>0</v>
      </c>
      <c r="AL1560">
        <v>0</v>
      </c>
      <c r="AM1560">
        <v>0</v>
      </c>
      <c r="AN1560">
        <v>0</v>
      </c>
      <c r="AO1560">
        <v>0</v>
      </c>
      <c r="AP1560">
        <v>0</v>
      </c>
      <c r="AQ1560">
        <v>35.9</v>
      </c>
      <c r="AR1560">
        <v>0</v>
      </c>
      <c r="AS1560">
        <v>0</v>
      </c>
      <c r="AT1560">
        <v>0</v>
      </c>
      <c r="AU1560">
        <v>0</v>
      </c>
      <c r="AV1560">
        <v>0</v>
      </c>
      <c r="AW1560">
        <v>0</v>
      </c>
      <c r="AX1560">
        <v>0</v>
      </c>
      <c r="AY1560">
        <v>0</v>
      </c>
      <c r="AZ1560">
        <v>0</v>
      </c>
      <c r="BA1560">
        <v>0</v>
      </c>
      <c r="BB1560">
        <v>0</v>
      </c>
      <c r="BC1560">
        <v>0</v>
      </c>
      <c r="BD1560">
        <v>0</v>
      </c>
      <c r="BE1560">
        <v>0</v>
      </c>
      <c r="BF1560">
        <v>0</v>
      </c>
      <c r="BG1560">
        <v>0</v>
      </c>
      <c r="BH1560">
        <v>1</v>
      </c>
      <c r="BI1560">
        <v>1</v>
      </c>
      <c r="BJ1560">
        <v>0.2</v>
      </c>
      <c r="BK1560">
        <v>1</v>
      </c>
      <c r="BL1560">
        <v>106.98</v>
      </c>
      <c r="BM1560">
        <v>16.05</v>
      </c>
      <c r="BN1560">
        <v>123.03</v>
      </c>
      <c r="BO1560">
        <v>123.03</v>
      </c>
      <c r="BQ1560" t="s">
        <v>544</v>
      </c>
      <c r="BR1560" t="s">
        <v>82</v>
      </c>
      <c r="BS1560" t="s">
        <v>500</v>
      </c>
      <c r="BY1560">
        <v>1200</v>
      </c>
      <c r="CC1560" t="s">
        <v>698</v>
      </c>
      <c r="CD1560">
        <v>1491</v>
      </c>
      <c r="CE1560" t="s">
        <v>134</v>
      </c>
      <c r="CI1560">
        <v>1</v>
      </c>
      <c r="CJ1560" t="s">
        <v>500</v>
      </c>
      <c r="CK1560">
        <v>24</v>
      </c>
      <c r="CL1560" t="s">
        <v>87</v>
      </c>
    </row>
    <row r="1561" spans="1:90" x14ac:dyDescent="0.3">
      <c r="A1561" t="s">
        <v>72</v>
      </c>
      <c r="B1561" t="s">
        <v>73</v>
      </c>
      <c r="C1561" t="s">
        <v>74</v>
      </c>
      <c r="E1561" t="str">
        <f>"080069844681"</f>
        <v>080069844681</v>
      </c>
      <c r="F1561" s="3">
        <v>46002</v>
      </c>
      <c r="G1561">
        <v>202609</v>
      </c>
      <c r="H1561" t="s">
        <v>75</v>
      </c>
      <c r="I1561" t="s">
        <v>76</v>
      </c>
      <c r="J1561" t="s">
        <v>77</v>
      </c>
      <c r="K1561" t="s">
        <v>78</v>
      </c>
      <c r="L1561" t="s">
        <v>141</v>
      </c>
      <c r="M1561" t="s">
        <v>142</v>
      </c>
      <c r="N1561" t="s">
        <v>608</v>
      </c>
      <c r="O1561" t="s">
        <v>89</v>
      </c>
      <c r="P1561" t="str">
        <f>"4170072972                    "</f>
        <v xml:space="preserve">4170072972                    </v>
      </c>
      <c r="Q1561">
        <v>0</v>
      </c>
      <c r="R1561">
        <v>0</v>
      </c>
      <c r="S1561">
        <v>0</v>
      </c>
      <c r="T1561">
        <v>0</v>
      </c>
      <c r="U1561">
        <v>0</v>
      </c>
      <c r="V1561">
        <v>0</v>
      </c>
      <c r="W1561">
        <v>0</v>
      </c>
      <c r="X1561">
        <v>0</v>
      </c>
      <c r="Y1561">
        <v>0</v>
      </c>
      <c r="Z1561">
        <v>0</v>
      </c>
      <c r="AA1561">
        <v>0</v>
      </c>
      <c r="AB1561">
        <v>0</v>
      </c>
      <c r="AC1561">
        <v>0</v>
      </c>
      <c r="AD1561">
        <v>0</v>
      </c>
      <c r="AE1561">
        <v>0</v>
      </c>
      <c r="AF1561">
        <v>0</v>
      </c>
      <c r="AG1561">
        <v>0</v>
      </c>
      <c r="AH1561">
        <v>0</v>
      </c>
      <c r="AI1561">
        <v>0</v>
      </c>
      <c r="AJ1561">
        <v>0</v>
      </c>
      <c r="AK1561">
        <v>0</v>
      </c>
      <c r="AL1561">
        <v>0</v>
      </c>
      <c r="AM1561">
        <v>0</v>
      </c>
      <c r="AN1561">
        <v>0</v>
      </c>
      <c r="AO1561">
        <v>0</v>
      </c>
      <c r="AP1561">
        <v>0</v>
      </c>
      <c r="AQ1561">
        <v>76.55</v>
      </c>
      <c r="AR1561">
        <v>0</v>
      </c>
      <c r="AS1561">
        <v>0</v>
      </c>
      <c r="AT1561">
        <v>0</v>
      </c>
      <c r="AU1561">
        <v>0</v>
      </c>
      <c r="AV1561">
        <v>0</v>
      </c>
      <c r="AW1561">
        <v>0</v>
      </c>
      <c r="AX1561">
        <v>0</v>
      </c>
      <c r="AY1561">
        <v>0</v>
      </c>
      <c r="AZ1561">
        <v>0</v>
      </c>
      <c r="BA1561">
        <v>0</v>
      </c>
      <c r="BB1561">
        <v>0</v>
      </c>
      <c r="BC1561">
        <v>0</v>
      </c>
      <c r="BD1561">
        <v>0</v>
      </c>
      <c r="BE1561">
        <v>0</v>
      </c>
      <c r="BF1561">
        <v>0</v>
      </c>
      <c r="BG1561">
        <v>0</v>
      </c>
      <c r="BH1561">
        <v>1</v>
      </c>
      <c r="BI1561">
        <v>6</v>
      </c>
      <c r="BJ1561">
        <v>1.5</v>
      </c>
      <c r="BK1561">
        <v>6</v>
      </c>
      <c r="BL1561">
        <v>228.13</v>
      </c>
      <c r="BM1561">
        <v>34.22</v>
      </c>
      <c r="BN1561">
        <v>262.35000000000002</v>
      </c>
      <c r="BO1561">
        <v>262.35000000000002</v>
      </c>
      <c r="BQ1561" t="s">
        <v>609</v>
      </c>
      <c r="BR1561" t="s">
        <v>82</v>
      </c>
      <c r="BS1561" t="s">
        <v>500</v>
      </c>
      <c r="BY1561">
        <v>7500</v>
      </c>
      <c r="CC1561" t="s">
        <v>142</v>
      </c>
      <c r="CD1561">
        <v>6070</v>
      </c>
      <c r="CE1561" t="s">
        <v>233</v>
      </c>
      <c r="CI1561">
        <v>1</v>
      </c>
      <c r="CJ1561" t="s">
        <v>500</v>
      </c>
      <c r="CK1561">
        <v>21</v>
      </c>
      <c r="CL1561" t="s">
        <v>87</v>
      </c>
    </row>
    <row r="1562" spans="1:90" x14ac:dyDescent="0.3">
      <c r="A1562" t="s">
        <v>72</v>
      </c>
      <c r="B1562" t="s">
        <v>73</v>
      </c>
      <c r="C1562" t="s">
        <v>74</v>
      </c>
      <c r="E1562" t="str">
        <f>"080069844708"</f>
        <v>080069844708</v>
      </c>
      <c r="F1562" s="3">
        <v>46002</v>
      </c>
      <c r="G1562">
        <v>202609</v>
      </c>
      <c r="H1562" t="s">
        <v>75</v>
      </c>
      <c r="I1562" t="s">
        <v>76</v>
      </c>
      <c r="J1562" t="s">
        <v>77</v>
      </c>
      <c r="K1562" t="s">
        <v>78</v>
      </c>
      <c r="L1562" t="s">
        <v>528</v>
      </c>
      <c r="M1562" t="s">
        <v>529</v>
      </c>
      <c r="N1562" t="s">
        <v>1131</v>
      </c>
      <c r="O1562" t="s">
        <v>89</v>
      </c>
      <c r="P1562" t="str">
        <f>"4170073039                    "</f>
        <v xml:space="preserve">4170073039                    </v>
      </c>
      <c r="Q1562">
        <v>0</v>
      </c>
      <c r="R1562">
        <v>0</v>
      </c>
      <c r="S1562">
        <v>0</v>
      </c>
      <c r="T1562">
        <v>0</v>
      </c>
      <c r="U1562">
        <v>0</v>
      </c>
      <c r="V1562">
        <v>0</v>
      </c>
      <c r="W1562">
        <v>0</v>
      </c>
      <c r="X1562">
        <v>0</v>
      </c>
      <c r="Y1562">
        <v>0</v>
      </c>
      <c r="Z1562">
        <v>0</v>
      </c>
      <c r="AA1562">
        <v>0</v>
      </c>
      <c r="AB1562">
        <v>0</v>
      </c>
      <c r="AC1562">
        <v>0</v>
      </c>
      <c r="AD1562">
        <v>0</v>
      </c>
      <c r="AE1562">
        <v>0</v>
      </c>
      <c r="AF1562">
        <v>0</v>
      </c>
      <c r="AG1562">
        <v>0</v>
      </c>
      <c r="AH1562">
        <v>0</v>
      </c>
      <c r="AI1562">
        <v>0</v>
      </c>
      <c r="AJ1562">
        <v>0</v>
      </c>
      <c r="AK1562">
        <v>0</v>
      </c>
      <c r="AL1562">
        <v>0</v>
      </c>
      <c r="AM1562">
        <v>0</v>
      </c>
      <c r="AN1562">
        <v>0</v>
      </c>
      <c r="AO1562">
        <v>0</v>
      </c>
      <c r="AP1562">
        <v>0</v>
      </c>
      <c r="AQ1562">
        <v>49.45</v>
      </c>
      <c r="AR1562">
        <v>0</v>
      </c>
      <c r="AS1562">
        <v>0</v>
      </c>
      <c r="AT1562">
        <v>0</v>
      </c>
      <c r="AU1562">
        <v>0</v>
      </c>
      <c r="AV1562">
        <v>0</v>
      </c>
      <c r="AW1562">
        <v>17.41</v>
      </c>
      <c r="AX1562">
        <v>0</v>
      </c>
      <c r="AY1562">
        <v>0</v>
      </c>
      <c r="AZ1562">
        <v>0</v>
      </c>
      <c r="BA1562">
        <v>0</v>
      </c>
      <c r="BB1562">
        <v>0</v>
      </c>
      <c r="BC1562">
        <v>0</v>
      </c>
      <c r="BD1562">
        <v>0</v>
      </c>
      <c r="BE1562">
        <v>0</v>
      </c>
      <c r="BF1562">
        <v>0</v>
      </c>
      <c r="BG1562">
        <v>0</v>
      </c>
      <c r="BH1562">
        <v>1</v>
      </c>
      <c r="BI1562">
        <v>1</v>
      </c>
      <c r="BJ1562">
        <v>0.2</v>
      </c>
      <c r="BK1562">
        <v>1</v>
      </c>
      <c r="BL1562">
        <v>164.79</v>
      </c>
      <c r="BM1562">
        <v>24.72</v>
      </c>
      <c r="BN1562">
        <v>189.51</v>
      </c>
      <c r="BO1562">
        <v>189.51</v>
      </c>
      <c r="BQ1562" t="s">
        <v>1132</v>
      </c>
      <c r="BR1562" t="s">
        <v>82</v>
      </c>
      <c r="BS1562" t="s">
        <v>500</v>
      </c>
      <c r="BY1562">
        <v>1200</v>
      </c>
      <c r="BZ1562" t="s">
        <v>30</v>
      </c>
      <c r="CC1562" t="s">
        <v>529</v>
      </c>
      <c r="CD1562" s="5" t="s">
        <v>1134</v>
      </c>
      <c r="CE1562" t="s">
        <v>134</v>
      </c>
      <c r="CI1562">
        <v>1</v>
      </c>
      <c r="CJ1562" t="s">
        <v>500</v>
      </c>
      <c r="CK1562">
        <v>23</v>
      </c>
      <c r="CL1562" t="s">
        <v>87</v>
      </c>
    </row>
    <row r="1563" spans="1:90" x14ac:dyDescent="0.3">
      <c r="A1563" t="s">
        <v>72</v>
      </c>
      <c r="B1563" t="s">
        <v>73</v>
      </c>
      <c r="C1563" t="s">
        <v>74</v>
      </c>
      <c r="E1563" t="str">
        <f>"080069844730"</f>
        <v>080069844730</v>
      </c>
      <c r="F1563" s="3">
        <v>46002</v>
      </c>
      <c r="G1563">
        <v>202609</v>
      </c>
      <c r="H1563" t="s">
        <v>75</v>
      </c>
      <c r="I1563" t="s">
        <v>76</v>
      </c>
      <c r="J1563" t="s">
        <v>77</v>
      </c>
      <c r="K1563" t="s">
        <v>78</v>
      </c>
      <c r="L1563" t="s">
        <v>176</v>
      </c>
      <c r="M1563" t="s">
        <v>177</v>
      </c>
      <c r="N1563" t="s">
        <v>2172</v>
      </c>
      <c r="O1563" t="s">
        <v>89</v>
      </c>
      <c r="P1563" t="str">
        <f>"4170073097                    "</f>
        <v xml:space="preserve">4170073097                    </v>
      </c>
      <c r="Q1563">
        <v>0</v>
      </c>
      <c r="R1563">
        <v>0</v>
      </c>
      <c r="S1563">
        <v>0</v>
      </c>
      <c r="T1563">
        <v>0</v>
      </c>
      <c r="U1563">
        <v>0</v>
      </c>
      <c r="V1563">
        <v>0</v>
      </c>
      <c r="W1563">
        <v>0</v>
      </c>
      <c r="X1563">
        <v>0</v>
      </c>
      <c r="Y1563">
        <v>0</v>
      </c>
      <c r="Z1563">
        <v>0</v>
      </c>
      <c r="AA1563">
        <v>0</v>
      </c>
      <c r="AB1563">
        <v>0</v>
      </c>
      <c r="AC1563">
        <v>0</v>
      </c>
      <c r="AD1563">
        <v>0</v>
      </c>
      <c r="AE1563">
        <v>0</v>
      </c>
      <c r="AF1563">
        <v>0</v>
      </c>
      <c r="AG1563">
        <v>0</v>
      </c>
      <c r="AH1563">
        <v>0</v>
      </c>
      <c r="AI1563">
        <v>0</v>
      </c>
      <c r="AJ1563">
        <v>0</v>
      </c>
      <c r="AK1563">
        <v>0</v>
      </c>
      <c r="AL1563">
        <v>0</v>
      </c>
      <c r="AM1563">
        <v>0</v>
      </c>
      <c r="AN1563">
        <v>0</v>
      </c>
      <c r="AO1563">
        <v>0</v>
      </c>
      <c r="AP1563">
        <v>0</v>
      </c>
      <c r="AQ1563">
        <v>19.940000000000001</v>
      </c>
      <c r="AR1563">
        <v>0</v>
      </c>
      <c r="AS1563">
        <v>0</v>
      </c>
      <c r="AT1563">
        <v>0</v>
      </c>
      <c r="AU1563">
        <v>0</v>
      </c>
      <c r="AV1563">
        <v>0</v>
      </c>
      <c r="AW1563">
        <v>0</v>
      </c>
      <c r="AX1563">
        <v>0</v>
      </c>
      <c r="AY1563">
        <v>0</v>
      </c>
      <c r="AZ1563">
        <v>0</v>
      </c>
      <c r="BA1563">
        <v>0</v>
      </c>
      <c r="BB1563">
        <v>0</v>
      </c>
      <c r="BC1563">
        <v>0</v>
      </c>
      <c r="BD1563">
        <v>0</v>
      </c>
      <c r="BE1563">
        <v>0</v>
      </c>
      <c r="BF1563">
        <v>0</v>
      </c>
      <c r="BG1563">
        <v>0</v>
      </c>
      <c r="BH1563">
        <v>1</v>
      </c>
      <c r="BI1563">
        <v>1</v>
      </c>
      <c r="BJ1563">
        <v>0.2</v>
      </c>
      <c r="BK1563">
        <v>1</v>
      </c>
      <c r="BL1563">
        <v>59.42</v>
      </c>
      <c r="BM1563">
        <v>8.91</v>
      </c>
      <c r="BN1563">
        <v>68.33</v>
      </c>
      <c r="BO1563">
        <v>68.33</v>
      </c>
      <c r="BQ1563" t="s">
        <v>2173</v>
      </c>
      <c r="BR1563" t="s">
        <v>82</v>
      </c>
      <c r="BS1563" t="s">
        <v>500</v>
      </c>
      <c r="BY1563">
        <v>1200</v>
      </c>
      <c r="CC1563" t="s">
        <v>177</v>
      </c>
      <c r="CD1563">
        <v>2091</v>
      </c>
      <c r="CE1563" t="s">
        <v>134</v>
      </c>
      <c r="CI1563">
        <v>1</v>
      </c>
      <c r="CJ1563" t="s">
        <v>500</v>
      </c>
      <c r="CK1563">
        <v>22</v>
      </c>
      <c r="CL1563" t="s">
        <v>87</v>
      </c>
    </row>
    <row r="1564" spans="1:90" x14ac:dyDescent="0.3">
      <c r="A1564" t="s">
        <v>72</v>
      </c>
      <c r="B1564" t="s">
        <v>73</v>
      </c>
      <c r="C1564" t="s">
        <v>74</v>
      </c>
      <c r="E1564" t="str">
        <f>"080069844753"</f>
        <v>080069844753</v>
      </c>
      <c r="F1564" s="3">
        <v>46002</v>
      </c>
      <c r="G1564">
        <v>202609</v>
      </c>
      <c r="H1564" t="s">
        <v>75</v>
      </c>
      <c r="I1564" t="s">
        <v>76</v>
      </c>
      <c r="J1564" t="s">
        <v>77</v>
      </c>
      <c r="K1564" t="s">
        <v>78</v>
      </c>
      <c r="L1564" t="s">
        <v>156</v>
      </c>
      <c r="M1564" t="s">
        <v>157</v>
      </c>
      <c r="N1564" t="s">
        <v>158</v>
      </c>
      <c r="O1564" t="s">
        <v>89</v>
      </c>
      <c r="P1564" t="str">
        <f>"4170073025                    "</f>
        <v xml:space="preserve">4170073025                    </v>
      </c>
      <c r="Q1564">
        <v>0</v>
      </c>
      <c r="R1564">
        <v>0</v>
      </c>
      <c r="S1564">
        <v>0</v>
      </c>
      <c r="T1564">
        <v>0</v>
      </c>
      <c r="U1564">
        <v>0</v>
      </c>
      <c r="V1564">
        <v>0</v>
      </c>
      <c r="W1564">
        <v>0</v>
      </c>
      <c r="X1564">
        <v>0</v>
      </c>
      <c r="Y1564">
        <v>0</v>
      </c>
      <c r="Z1564">
        <v>0</v>
      </c>
      <c r="AA1564">
        <v>0</v>
      </c>
      <c r="AB1564">
        <v>0</v>
      </c>
      <c r="AC1564">
        <v>0</v>
      </c>
      <c r="AD1564">
        <v>0</v>
      </c>
      <c r="AE1564">
        <v>0</v>
      </c>
      <c r="AF1564">
        <v>0</v>
      </c>
      <c r="AG1564">
        <v>0</v>
      </c>
      <c r="AH1564">
        <v>0</v>
      </c>
      <c r="AI1564">
        <v>0</v>
      </c>
      <c r="AJ1564">
        <v>0</v>
      </c>
      <c r="AK1564">
        <v>0</v>
      </c>
      <c r="AL1564">
        <v>0</v>
      </c>
      <c r="AM1564">
        <v>0</v>
      </c>
      <c r="AN1564">
        <v>0</v>
      </c>
      <c r="AO1564">
        <v>0</v>
      </c>
      <c r="AP1564">
        <v>0</v>
      </c>
      <c r="AQ1564">
        <v>25.52</v>
      </c>
      <c r="AR1564">
        <v>0</v>
      </c>
      <c r="AS1564">
        <v>0</v>
      </c>
      <c r="AT1564">
        <v>0</v>
      </c>
      <c r="AU1564">
        <v>0</v>
      </c>
      <c r="AV1564">
        <v>0</v>
      </c>
      <c r="AW1564">
        <v>0</v>
      </c>
      <c r="AX1564">
        <v>0</v>
      </c>
      <c r="AY1564">
        <v>0</v>
      </c>
      <c r="AZ1564">
        <v>0</v>
      </c>
      <c r="BA1564">
        <v>0</v>
      </c>
      <c r="BB1564">
        <v>0</v>
      </c>
      <c r="BC1564">
        <v>0</v>
      </c>
      <c r="BD1564">
        <v>0</v>
      </c>
      <c r="BE1564">
        <v>0</v>
      </c>
      <c r="BF1564">
        <v>0</v>
      </c>
      <c r="BG1564">
        <v>0</v>
      </c>
      <c r="BH1564">
        <v>1</v>
      </c>
      <c r="BI1564">
        <v>1</v>
      </c>
      <c r="BJ1564">
        <v>0.2</v>
      </c>
      <c r="BK1564">
        <v>1</v>
      </c>
      <c r="BL1564">
        <v>76.06</v>
      </c>
      <c r="BM1564">
        <v>11.41</v>
      </c>
      <c r="BN1564">
        <v>87.47</v>
      </c>
      <c r="BO1564">
        <v>87.47</v>
      </c>
      <c r="BQ1564" t="s">
        <v>159</v>
      </c>
      <c r="BR1564" t="s">
        <v>82</v>
      </c>
      <c r="BS1564" t="s">
        <v>500</v>
      </c>
      <c r="BY1564">
        <v>1200</v>
      </c>
      <c r="CC1564" t="s">
        <v>157</v>
      </c>
      <c r="CD1564">
        <v>7530</v>
      </c>
      <c r="CE1564" t="s">
        <v>134</v>
      </c>
      <c r="CI1564">
        <v>1</v>
      </c>
      <c r="CJ1564" t="s">
        <v>500</v>
      </c>
      <c r="CK1564">
        <v>21</v>
      </c>
      <c r="CL1564" t="s">
        <v>87</v>
      </c>
    </row>
    <row r="1565" spans="1:90" x14ac:dyDescent="0.3">
      <c r="A1565" t="s">
        <v>72</v>
      </c>
      <c r="B1565" t="s">
        <v>73</v>
      </c>
      <c r="C1565" t="s">
        <v>74</v>
      </c>
      <c r="E1565" t="str">
        <f>"080069844776"</f>
        <v>080069844776</v>
      </c>
      <c r="F1565" s="3">
        <v>46002</v>
      </c>
      <c r="G1565">
        <v>202609</v>
      </c>
      <c r="H1565" t="s">
        <v>75</v>
      </c>
      <c r="I1565" t="s">
        <v>76</v>
      </c>
      <c r="J1565" t="s">
        <v>77</v>
      </c>
      <c r="K1565" t="s">
        <v>78</v>
      </c>
      <c r="L1565" t="s">
        <v>189</v>
      </c>
      <c r="M1565" t="s">
        <v>190</v>
      </c>
      <c r="N1565" t="s">
        <v>1960</v>
      </c>
      <c r="O1565" t="s">
        <v>89</v>
      </c>
      <c r="P1565" t="str">
        <f>"4170073055                    "</f>
        <v xml:space="preserve">4170073055                    </v>
      </c>
      <c r="Q1565">
        <v>0</v>
      </c>
      <c r="R1565">
        <v>0</v>
      </c>
      <c r="S1565">
        <v>0</v>
      </c>
      <c r="T1565">
        <v>0</v>
      </c>
      <c r="U1565">
        <v>0</v>
      </c>
      <c r="V1565">
        <v>0</v>
      </c>
      <c r="W1565">
        <v>0</v>
      </c>
      <c r="X1565">
        <v>0</v>
      </c>
      <c r="Y1565">
        <v>0</v>
      </c>
      <c r="Z1565">
        <v>0</v>
      </c>
      <c r="AA1565">
        <v>0</v>
      </c>
      <c r="AB1565">
        <v>0</v>
      </c>
      <c r="AC1565">
        <v>0</v>
      </c>
      <c r="AD1565">
        <v>0</v>
      </c>
      <c r="AE1565">
        <v>0</v>
      </c>
      <c r="AF1565">
        <v>0</v>
      </c>
      <c r="AG1565">
        <v>0</v>
      </c>
      <c r="AH1565">
        <v>0</v>
      </c>
      <c r="AI1565">
        <v>0</v>
      </c>
      <c r="AJ1565">
        <v>0</v>
      </c>
      <c r="AK1565">
        <v>0</v>
      </c>
      <c r="AL1565">
        <v>0</v>
      </c>
      <c r="AM1565">
        <v>0</v>
      </c>
      <c r="AN1565">
        <v>0</v>
      </c>
      <c r="AO1565">
        <v>0</v>
      </c>
      <c r="AP1565">
        <v>0</v>
      </c>
      <c r="AQ1565">
        <v>25.52</v>
      </c>
      <c r="AR1565">
        <v>0</v>
      </c>
      <c r="AS1565">
        <v>0</v>
      </c>
      <c r="AT1565">
        <v>0</v>
      </c>
      <c r="AU1565">
        <v>0</v>
      </c>
      <c r="AV1565">
        <v>0</v>
      </c>
      <c r="AW1565">
        <v>0</v>
      </c>
      <c r="AX1565">
        <v>0</v>
      </c>
      <c r="AY1565">
        <v>0</v>
      </c>
      <c r="AZ1565">
        <v>0</v>
      </c>
      <c r="BA1565">
        <v>0</v>
      </c>
      <c r="BB1565">
        <v>0</v>
      </c>
      <c r="BC1565">
        <v>0</v>
      </c>
      <c r="BD1565">
        <v>0</v>
      </c>
      <c r="BE1565">
        <v>0</v>
      </c>
      <c r="BF1565">
        <v>0</v>
      </c>
      <c r="BG1565">
        <v>0</v>
      </c>
      <c r="BH1565">
        <v>1</v>
      </c>
      <c r="BI1565">
        <v>1</v>
      </c>
      <c r="BJ1565">
        <v>0.2</v>
      </c>
      <c r="BK1565">
        <v>1</v>
      </c>
      <c r="BL1565">
        <v>76.06</v>
      </c>
      <c r="BM1565">
        <v>11.41</v>
      </c>
      <c r="BN1565">
        <v>87.47</v>
      </c>
      <c r="BO1565">
        <v>87.47</v>
      </c>
      <c r="BQ1565" t="s">
        <v>1961</v>
      </c>
      <c r="BR1565" t="s">
        <v>82</v>
      </c>
      <c r="BS1565" t="s">
        <v>500</v>
      </c>
      <c r="BY1565">
        <v>1200</v>
      </c>
      <c r="CC1565" t="s">
        <v>190</v>
      </c>
      <c r="CD1565">
        <v>3201</v>
      </c>
      <c r="CE1565" t="s">
        <v>134</v>
      </c>
      <c r="CI1565">
        <v>1</v>
      </c>
      <c r="CJ1565" t="s">
        <v>500</v>
      </c>
      <c r="CK1565">
        <v>21</v>
      </c>
      <c r="CL1565" t="s">
        <v>87</v>
      </c>
    </row>
    <row r="1566" spans="1:90" x14ac:dyDescent="0.3">
      <c r="A1566" t="s">
        <v>72</v>
      </c>
      <c r="B1566" t="s">
        <v>73</v>
      </c>
      <c r="C1566" t="s">
        <v>74</v>
      </c>
      <c r="E1566" t="str">
        <f>"080069844779"</f>
        <v>080069844779</v>
      </c>
      <c r="F1566" s="3">
        <v>46002</v>
      </c>
      <c r="G1566">
        <v>202609</v>
      </c>
      <c r="H1566" t="s">
        <v>75</v>
      </c>
      <c r="I1566" t="s">
        <v>76</v>
      </c>
      <c r="J1566" t="s">
        <v>77</v>
      </c>
      <c r="K1566" t="s">
        <v>78</v>
      </c>
      <c r="L1566" t="s">
        <v>156</v>
      </c>
      <c r="M1566" t="s">
        <v>157</v>
      </c>
      <c r="N1566" t="s">
        <v>634</v>
      </c>
      <c r="O1566" t="s">
        <v>80</v>
      </c>
      <c r="P1566" t="str">
        <f>"009943879296                  "</f>
        <v xml:space="preserve">009943879296                  </v>
      </c>
      <c r="Q1566">
        <v>0</v>
      </c>
      <c r="R1566">
        <v>0</v>
      </c>
      <c r="S1566">
        <v>0</v>
      </c>
      <c r="T1566">
        <v>0</v>
      </c>
      <c r="U1566">
        <v>0</v>
      </c>
      <c r="V1566">
        <v>0</v>
      </c>
      <c r="W1566">
        <v>0</v>
      </c>
      <c r="X1566">
        <v>0</v>
      </c>
      <c r="Y1566">
        <v>0</v>
      </c>
      <c r="Z1566">
        <v>0</v>
      </c>
      <c r="AA1566">
        <v>0</v>
      </c>
      <c r="AB1566">
        <v>0</v>
      </c>
      <c r="AC1566">
        <v>0</v>
      </c>
      <c r="AD1566">
        <v>0</v>
      </c>
      <c r="AE1566">
        <v>0</v>
      </c>
      <c r="AF1566">
        <v>0</v>
      </c>
      <c r="AG1566">
        <v>0</v>
      </c>
      <c r="AH1566">
        <v>0</v>
      </c>
      <c r="AI1566">
        <v>0</v>
      </c>
      <c r="AJ1566">
        <v>0</v>
      </c>
      <c r="AK1566">
        <v>0</v>
      </c>
      <c r="AL1566">
        <v>0</v>
      </c>
      <c r="AM1566">
        <v>0</v>
      </c>
      <c r="AN1566">
        <v>0</v>
      </c>
      <c r="AO1566">
        <v>0</v>
      </c>
      <c r="AP1566">
        <v>0</v>
      </c>
      <c r="AQ1566">
        <v>324.79000000000002</v>
      </c>
      <c r="AR1566">
        <v>0</v>
      </c>
      <c r="AS1566">
        <v>0</v>
      </c>
      <c r="AT1566">
        <v>0</v>
      </c>
      <c r="AU1566">
        <v>0</v>
      </c>
      <c r="AV1566">
        <v>0</v>
      </c>
      <c r="AW1566">
        <v>0</v>
      </c>
      <c r="AX1566">
        <v>0</v>
      </c>
      <c r="AY1566">
        <v>0</v>
      </c>
      <c r="AZ1566">
        <v>0</v>
      </c>
      <c r="BA1566">
        <v>0</v>
      </c>
      <c r="BB1566">
        <v>0</v>
      </c>
      <c r="BC1566">
        <v>0</v>
      </c>
      <c r="BD1566">
        <v>0</v>
      </c>
      <c r="BE1566">
        <v>0</v>
      </c>
      <c r="BF1566">
        <v>0</v>
      </c>
      <c r="BG1566">
        <v>0</v>
      </c>
      <c r="BH1566">
        <v>1</v>
      </c>
      <c r="BI1566">
        <v>150</v>
      </c>
      <c r="BJ1566">
        <v>83.7</v>
      </c>
      <c r="BK1566">
        <v>150</v>
      </c>
      <c r="BL1566">
        <v>974.03</v>
      </c>
      <c r="BM1566">
        <v>146.1</v>
      </c>
      <c r="BN1566">
        <v>1120.1300000000001</v>
      </c>
      <c r="BO1566">
        <v>1120.1300000000001</v>
      </c>
      <c r="BQ1566" t="s">
        <v>635</v>
      </c>
      <c r="BR1566" t="s">
        <v>82</v>
      </c>
      <c r="BS1566" t="s">
        <v>500</v>
      </c>
      <c r="BY1566">
        <v>418446</v>
      </c>
      <c r="CC1566" t="s">
        <v>157</v>
      </c>
      <c r="CD1566">
        <v>7535</v>
      </c>
      <c r="CE1566" t="s">
        <v>567</v>
      </c>
      <c r="CI1566">
        <v>3</v>
      </c>
      <c r="CJ1566" t="s">
        <v>500</v>
      </c>
      <c r="CK1566">
        <v>41</v>
      </c>
      <c r="CL1566" t="s">
        <v>87</v>
      </c>
    </row>
    <row r="1567" spans="1:90" x14ac:dyDescent="0.3">
      <c r="A1567" t="s">
        <v>72</v>
      </c>
      <c r="B1567" t="s">
        <v>73</v>
      </c>
      <c r="C1567" t="s">
        <v>74</v>
      </c>
      <c r="E1567" t="str">
        <f>"080069844794"</f>
        <v>080069844794</v>
      </c>
      <c r="F1567" s="3">
        <v>46002</v>
      </c>
      <c r="G1567">
        <v>202609</v>
      </c>
      <c r="H1567" t="s">
        <v>75</v>
      </c>
      <c r="I1567" t="s">
        <v>76</v>
      </c>
      <c r="J1567" t="s">
        <v>77</v>
      </c>
      <c r="K1567" t="s">
        <v>78</v>
      </c>
      <c r="L1567" t="s">
        <v>156</v>
      </c>
      <c r="M1567" t="s">
        <v>157</v>
      </c>
      <c r="N1567" t="s">
        <v>434</v>
      </c>
      <c r="O1567" t="s">
        <v>89</v>
      </c>
      <c r="P1567" t="str">
        <f>"4170072989                    "</f>
        <v xml:space="preserve">4170072989                    </v>
      </c>
      <c r="Q1567">
        <v>0</v>
      </c>
      <c r="R1567">
        <v>0</v>
      </c>
      <c r="S1567">
        <v>0</v>
      </c>
      <c r="T1567">
        <v>0</v>
      </c>
      <c r="U1567">
        <v>0</v>
      </c>
      <c r="V1567">
        <v>0</v>
      </c>
      <c r="W1567">
        <v>0</v>
      </c>
      <c r="X1567">
        <v>0</v>
      </c>
      <c r="Y1567">
        <v>0</v>
      </c>
      <c r="Z1567">
        <v>0</v>
      </c>
      <c r="AA1567">
        <v>0</v>
      </c>
      <c r="AB1567">
        <v>0</v>
      </c>
      <c r="AC1567">
        <v>0</v>
      </c>
      <c r="AD1567">
        <v>0</v>
      </c>
      <c r="AE1567">
        <v>0</v>
      </c>
      <c r="AF1567">
        <v>0</v>
      </c>
      <c r="AG1567">
        <v>0</v>
      </c>
      <c r="AH1567">
        <v>0</v>
      </c>
      <c r="AI1567">
        <v>0</v>
      </c>
      <c r="AJ1567">
        <v>0</v>
      </c>
      <c r="AK1567">
        <v>0</v>
      </c>
      <c r="AL1567">
        <v>0</v>
      </c>
      <c r="AM1567">
        <v>0</v>
      </c>
      <c r="AN1567">
        <v>0</v>
      </c>
      <c r="AO1567">
        <v>0</v>
      </c>
      <c r="AP1567">
        <v>0</v>
      </c>
      <c r="AQ1567">
        <v>25.52</v>
      </c>
      <c r="AR1567">
        <v>0</v>
      </c>
      <c r="AS1567">
        <v>0</v>
      </c>
      <c r="AT1567">
        <v>0</v>
      </c>
      <c r="AU1567">
        <v>0</v>
      </c>
      <c r="AV1567">
        <v>0</v>
      </c>
      <c r="AW1567">
        <v>0</v>
      </c>
      <c r="AX1567">
        <v>0</v>
      </c>
      <c r="AY1567">
        <v>0</v>
      </c>
      <c r="AZ1567">
        <v>0</v>
      </c>
      <c r="BA1567">
        <v>0</v>
      </c>
      <c r="BB1567">
        <v>0</v>
      </c>
      <c r="BC1567">
        <v>0</v>
      </c>
      <c r="BD1567">
        <v>0</v>
      </c>
      <c r="BE1567">
        <v>0</v>
      </c>
      <c r="BF1567">
        <v>0</v>
      </c>
      <c r="BG1567">
        <v>0</v>
      </c>
      <c r="BH1567">
        <v>1</v>
      </c>
      <c r="BI1567">
        <v>1</v>
      </c>
      <c r="BJ1567">
        <v>0.2</v>
      </c>
      <c r="BK1567">
        <v>1</v>
      </c>
      <c r="BL1567">
        <v>76.06</v>
      </c>
      <c r="BM1567">
        <v>11.41</v>
      </c>
      <c r="BN1567">
        <v>87.47</v>
      </c>
      <c r="BO1567">
        <v>87.47</v>
      </c>
      <c r="BQ1567" t="s">
        <v>435</v>
      </c>
      <c r="BR1567" t="s">
        <v>82</v>
      </c>
      <c r="BS1567" t="s">
        <v>500</v>
      </c>
      <c r="BY1567">
        <v>1200</v>
      </c>
      <c r="CC1567" t="s">
        <v>157</v>
      </c>
      <c r="CD1567">
        <v>7441</v>
      </c>
      <c r="CE1567" t="s">
        <v>134</v>
      </c>
      <c r="CI1567">
        <v>1</v>
      </c>
      <c r="CJ1567" t="s">
        <v>500</v>
      </c>
      <c r="CK1567">
        <v>21</v>
      </c>
      <c r="CL1567" t="s">
        <v>87</v>
      </c>
    </row>
    <row r="1568" spans="1:90" x14ac:dyDescent="0.3">
      <c r="A1568" t="s">
        <v>72</v>
      </c>
      <c r="B1568" t="s">
        <v>73</v>
      </c>
      <c r="C1568" t="s">
        <v>74</v>
      </c>
      <c r="E1568" t="str">
        <f>"080069844811"</f>
        <v>080069844811</v>
      </c>
      <c r="F1568" s="3">
        <v>46002</v>
      </c>
      <c r="G1568">
        <v>202609</v>
      </c>
      <c r="H1568" t="s">
        <v>75</v>
      </c>
      <c r="I1568" t="s">
        <v>76</v>
      </c>
      <c r="J1568" t="s">
        <v>77</v>
      </c>
      <c r="K1568" t="s">
        <v>78</v>
      </c>
      <c r="L1568" t="s">
        <v>189</v>
      </c>
      <c r="M1568" t="s">
        <v>190</v>
      </c>
      <c r="N1568" t="s">
        <v>656</v>
      </c>
      <c r="O1568" t="s">
        <v>89</v>
      </c>
      <c r="P1568" t="str">
        <f>"4170072997                    "</f>
        <v xml:space="preserve">4170072997                    </v>
      </c>
      <c r="Q1568">
        <v>0</v>
      </c>
      <c r="R1568">
        <v>0</v>
      </c>
      <c r="S1568">
        <v>0</v>
      </c>
      <c r="T1568">
        <v>0</v>
      </c>
      <c r="U1568">
        <v>0</v>
      </c>
      <c r="V1568">
        <v>0</v>
      </c>
      <c r="W1568">
        <v>0</v>
      </c>
      <c r="X1568">
        <v>0</v>
      </c>
      <c r="Y1568">
        <v>0</v>
      </c>
      <c r="Z1568">
        <v>0</v>
      </c>
      <c r="AA1568">
        <v>0</v>
      </c>
      <c r="AB1568">
        <v>0</v>
      </c>
      <c r="AC1568">
        <v>0</v>
      </c>
      <c r="AD1568">
        <v>0</v>
      </c>
      <c r="AE1568">
        <v>0</v>
      </c>
      <c r="AF1568">
        <v>0</v>
      </c>
      <c r="AG1568">
        <v>0</v>
      </c>
      <c r="AH1568">
        <v>0</v>
      </c>
      <c r="AI1568">
        <v>0</v>
      </c>
      <c r="AJ1568">
        <v>0</v>
      </c>
      <c r="AK1568">
        <v>0</v>
      </c>
      <c r="AL1568">
        <v>0</v>
      </c>
      <c r="AM1568">
        <v>0</v>
      </c>
      <c r="AN1568">
        <v>0</v>
      </c>
      <c r="AO1568">
        <v>0</v>
      </c>
      <c r="AP1568">
        <v>0</v>
      </c>
      <c r="AQ1568">
        <v>25.52</v>
      </c>
      <c r="AR1568">
        <v>0</v>
      </c>
      <c r="AS1568">
        <v>0</v>
      </c>
      <c r="AT1568">
        <v>0</v>
      </c>
      <c r="AU1568">
        <v>0</v>
      </c>
      <c r="AV1568">
        <v>0</v>
      </c>
      <c r="AW1568">
        <v>17.41</v>
      </c>
      <c r="AX1568">
        <v>0</v>
      </c>
      <c r="AY1568">
        <v>0</v>
      </c>
      <c r="AZ1568">
        <v>0</v>
      </c>
      <c r="BA1568">
        <v>0</v>
      </c>
      <c r="BB1568">
        <v>0</v>
      </c>
      <c r="BC1568">
        <v>0</v>
      </c>
      <c r="BD1568">
        <v>0</v>
      </c>
      <c r="BE1568">
        <v>0</v>
      </c>
      <c r="BF1568">
        <v>0</v>
      </c>
      <c r="BG1568">
        <v>0</v>
      </c>
      <c r="BH1568">
        <v>1</v>
      </c>
      <c r="BI1568">
        <v>1</v>
      </c>
      <c r="BJ1568">
        <v>0.2</v>
      </c>
      <c r="BK1568">
        <v>1</v>
      </c>
      <c r="BL1568">
        <v>93.47</v>
      </c>
      <c r="BM1568">
        <v>14.02</v>
      </c>
      <c r="BN1568">
        <v>107.49</v>
      </c>
      <c r="BO1568">
        <v>107.49</v>
      </c>
      <c r="BQ1568" t="s">
        <v>657</v>
      </c>
      <c r="BR1568" t="s">
        <v>82</v>
      </c>
      <c r="BS1568" t="s">
        <v>500</v>
      </c>
      <c r="BY1568">
        <v>1200</v>
      </c>
      <c r="BZ1568" t="s">
        <v>30</v>
      </c>
      <c r="CC1568" t="s">
        <v>190</v>
      </c>
      <c r="CD1568">
        <v>3699</v>
      </c>
      <c r="CE1568" t="s">
        <v>134</v>
      </c>
      <c r="CI1568">
        <v>1</v>
      </c>
      <c r="CJ1568" t="s">
        <v>500</v>
      </c>
      <c r="CK1568">
        <v>21</v>
      </c>
      <c r="CL1568" t="s">
        <v>87</v>
      </c>
    </row>
    <row r="1569" spans="1:90" x14ac:dyDescent="0.3">
      <c r="A1569" t="s">
        <v>72</v>
      </c>
      <c r="B1569" t="s">
        <v>73</v>
      </c>
      <c r="C1569" t="s">
        <v>74</v>
      </c>
      <c r="E1569" t="str">
        <f>"080069844814"</f>
        <v>080069844814</v>
      </c>
      <c r="F1569" s="3">
        <v>46002</v>
      </c>
      <c r="G1569">
        <v>202609</v>
      </c>
      <c r="H1569" t="s">
        <v>75</v>
      </c>
      <c r="I1569" t="s">
        <v>76</v>
      </c>
      <c r="J1569" t="s">
        <v>77</v>
      </c>
      <c r="K1569" t="s">
        <v>78</v>
      </c>
      <c r="L1569" t="s">
        <v>302</v>
      </c>
      <c r="M1569" t="s">
        <v>303</v>
      </c>
      <c r="N1569" t="s">
        <v>795</v>
      </c>
      <c r="O1569" t="s">
        <v>80</v>
      </c>
      <c r="P1569" t="str">
        <f>"4170072927                    "</f>
        <v xml:space="preserve">4170072927                    </v>
      </c>
      <c r="Q1569">
        <v>0</v>
      </c>
      <c r="R1569">
        <v>0</v>
      </c>
      <c r="S1569">
        <v>0</v>
      </c>
      <c r="T1569">
        <v>0</v>
      </c>
      <c r="U1569">
        <v>0</v>
      </c>
      <c r="V1569">
        <v>0</v>
      </c>
      <c r="W1569">
        <v>0</v>
      </c>
      <c r="X1569">
        <v>0</v>
      </c>
      <c r="Y1569">
        <v>0</v>
      </c>
      <c r="Z1569">
        <v>0</v>
      </c>
      <c r="AA1569">
        <v>0</v>
      </c>
      <c r="AB1569">
        <v>0</v>
      </c>
      <c r="AC1569">
        <v>0</v>
      </c>
      <c r="AD1569">
        <v>0</v>
      </c>
      <c r="AE1569">
        <v>0</v>
      </c>
      <c r="AF1569">
        <v>0</v>
      </c>
      <c r="AG1569">
        <v>0</v>
      </c>
      <c r="AH1569">
        <v>0</v>
      </c>
      <c r="AI1569">
        <v>0</v>
      </c>
      <c r="AJ1569">
        <v>0</v>
      </c>
      <c r="AK1569">
        <v>0</v>
      </c>
      <c r="AL1569">
        <v>0</v>
      </c>
      <c r="AM1569">
        <v>0</v>
      </c>
      <c r="AN1569">
        <v>0</v>
      </c>
      <c r="AO1569">
        <v>0</v>
      </c>
      <c r="AP1569">
        <v>0</v>
      </c>
      <c r="AQ1569">
        <v>79.959999999999994</v>
      </c>
      <c r="AR1569">
        <v>0</v>
      </c>
      <c r="AS1569">
        <v>0</v>
      </c>
      <c r="AT1569">
        <v>0</v>
      </c>
      <c r="AU1569">
        <v>0</v>
      </c>
      <c r="AV1569">
        <v>0</v>
      </c>
      <c r="AW1569">
        <v>0</v>
      </c>
      <c r="AX1569">
        <v>0</v>
      </c>
      <c r="AY1569">
        <v>0</v>
      </c>
      <c r="AZ1569">
        <v>0</v>
      </c>
      <c r="BA1569">
        <v>0</v>
      </c>
      <c r="BB1569">
        <v>0</v>
      </c>
      <c r="BC1569">
        <v>0</v>
      </c>
      <c r="BD1569">
        <v>0</v>
      </c>
      <c r="BE1569">
        <v>0</v>
      </c>
      <c r="BF1569">
        <v>0</v>
      </c>
      <c r="BG1569">
        <v>0</v>
      </c>
      <c r="BH1569">
        <v>3</v>
      </c>
      <c r="BI1569">
        <v>30</v>
      </c>
      <c r="BJ1569">
        <v>13.9</v>
      </c>
      <c r="BK1569">
        <v>30</v>
      </c>
      <c r="BL1569">
        <v>244.4</v>
      </c>
      <c r="BM1569">
        <v>36.659999999999997</v>
      </c>
      <c r="BN1569">
        <v>281.06</v>
      </c>
      <c r="BO1569">
        <v>281.06</v>
      </c>
      <c r="BQ1569" t="s">
        <v>796</v>
      </c>
      <c r="BR1569" t="s">
        <v>82</v>
      </c>
      <c r="BS1569" t="s">
        <v>500</v>
      </c>
      <c r="BY1569">
        <v>23120</v>
      </c>
      <c r="CC1569" t="s">
        <v>303</v>
      </c>
      <c r="CD1569" s="5" t="s">
        <v>664</v>
      </c>
      <c r="CE1569" t="s">
        <v>894</v>
      </c>
      <c r="CI1569">
        <v>1</v>
      </c>
      <c r="CJ1569" t="s">
        <v>500</v>
      </c>
      <c r="CK1569">
        <v>41</v>
      </c>
      <c r="CL1569" t="s">
        <v>87</v>
      </c>
    </row>
    <row r="1570" spans="1:90" x14ac:dyDescent="0.3">
      <c r="A1570" t="s">
        <v>72</v>
      </c>
      <c r="B1570" t="s">
        <v>73</v>
      </c>
      <c r="C1570" t="s">
        <v>74</v>
      </c>
      <c r="E1570" t="str">
        <f>"080069844863"</f>
        <v>080069844863</v>
      </c>
      <c r="F1570" s="3">
        <v>46002</v>
      </c>
      <c r="G1570">
        <v>202609</v>
      </c>
      <c r="H1570" t="s">
        <v>75</v>
      </c>
      <c r="I1570" t="s">
        <v>76</v>
      </c>
      <c r="J1570" t="s">
        <v>77</v>
      </c>
      <c r="K1570" t="s">
        <v>78</v>
      </c>
      <c r="L1570" t="s">
        <v>156</v>
      </c>
      <c r="M1570" t="s">
        <v>157</v>
      </c>
      <c r="N1570" t="s">
        <v>434</v>
      </c>
      <c r="O1570" t="s">
        <v>89</v>
      </c>
      <c r="P1570" t="str">
        <f>"4170073033                    "</f>
        <v xml:space="preserve">4170073033                    </v>
      </c>
      <c r="Q1570">
        <v>0</v>
      </c>
      <c r="R1570">
        <v>0</v>
      </c>
      <c r="S1570">
        <v>0</v>
      </c>
      <c r="T1570">
        <v>0</v>
      </c>
      <c r="U1570">
        <v>0</v>
      </c>
      <c r="V1570">
        <v>0</v>
      </c>
      <c r="W1570">
        <v>0</v>
      </c>
      <c r="X1570">
        <v>0</v>
      </c>
      <c r="Y1570">
        <v>0</v>
      </c>
      <c r="Z1570">
        <v>0</v>
      </c>
      <c r="AA1570">
        <v>0</v>
      </c>
      <c r="AB1570">
        <v>0</v>
      </c>
      <c r="AC1570">
        <v>0</v>
      </c>
      <c r="AD1570">
        <v>0</v>
      </c>
      <c r="AE1570">
        <v>0</v>
      </c>
      <c r="AF1570">
        <v>0</v>
      </c>
      <c r="AG1570">
        <v>0</v>
      </c>
      <c r="AH1570">
        <v>0</v>
      </c>
      <c r="AI1570">
        <v>0</v>
      </c>
      <c r="AJ1570">
        <v>0</v>
      </c>
      <c r="AK1570">
        <v>0</v>
      </c>
      <c r="AL1570">
        <v>0</v>
      </c>
      <c r="AM1570">
        <v>0</v>
      </c>
      <c r="AN1570">
        <v>0</v>
      </c>
      <c r="AO1570">
        <v>0</v>
      </c>
      <c r="AP1570">
        <v>0</v>
      </c>
      <c r="AQ1570">
        <v>82.93</v>
      </c>
      <c r="AR1570">
        <v>0</v>
      </c>
      <c r="AS1570">
        <v>0</v>
      </c>
      <c r="AT1570">
        <v>0</v>
      </c>
      <c r="AU1570">
        <v>0</v>
      </c>
      <c r="AV1570">
        <v>0</v>
      </c>
      <c r="AW1570">
        <v>0</v>
      </c>
      <c r="AX1570">
        <v>0</v>
      </c>
      <c r="AY1570">
        <v>0</v>
      </c>
      <c r="AZ1570">
        <v>0</v>
      </c>
      <c r="BA1570">
        <v>0</v>
      </c>
      <c r="BB1570">
        <v>0</v>
      </c>
      <c r="BC1570">
        <v>0</v>
      </c>
      <c r="BD1570">
        <v>0</v>
      </c>
      <c r="BE1570">
        <v>0</v>
      </c>
      <c r="BF1570">
        <v>0</v>
      </c>
      <c r="BG1570">
        <v>0</v>
      </c>
      <c r="BH1570">
        <v>2</v>
      </c>
      <c r="BI1570">
        <v>6</v>
      </c>
      <c r="BJ1570">
        <v>6.2</v>
      </c>
      <c r="BK1570">
        <v>6.5</v>
      </c>
      <c r="BL1570">
        <v>247.14</v>
      </c>
      <c r="BM1570">
        <v>37.07</v>
      </c>
      <c r="BN1570">
        <v>284.20999999999998</v>
      </c>
      <c r="BO1570">
        <v>284.20999999999998</v>
      </c>
      <c r="BQ1570" t="s">
        <v>435</v>
      </c>
      <c r="BR1570" t="s">
        <v>82</v>
      </c>
      <c r="BS1570" t="s">
        <v>500</v>
      </c>
      <c r="BY1570">
        <v>31089</v>
      </c>
      <c r="CC1570" t="s">
        <v>157</v>
      </c>
      <c r="CD1570">
        <v>7441</v>
      </c>
      <c r="CE1570" t="s">
        <v>86</v>
      </c>
      <c r="CI1570">
        <v>1</v>
      </c>
      <c r="CJ1570" t="s">
        <v>500</v>
      </c>
      <c r="CK1570">
        <v>21</v>
      </c>
      <c r="CL1570" t="s">
        <v>87</v>
      </c>
    </row>
    <row r="1571" spans="1:90" x14ac:dyDescent="0.3">
      <c r="A1571" t="s">
        <v>72</v>
      </c>
      <c r="B1571" t="s">
        <v>73</v>
      </c>
      <c r="C1571" t="s">
        <v>74</v>
      </c>
      <c r="E1571" t="str">
        <f>"080069844896"</f>
        <v>080069844896</v>
      </c>
      <c r="F1571" s="3">
        <v>46002</v>
      </c>
      <c r="G1571">
        <v>202609</v>
      </c>
      <c r="H1571" t="s">
        <v>75</v>
      </c>
      <c r="I1571" t="s">
        <v>76</v>
      </c>
      <c r="J1571" t="s">
        <v>77</v>
      </c>
      <c r="K1571" t="s">
        <v>78</v>
      </c>
      <c r="L1571" t="s">
        <v>176</v>
      </c>
      <c r="M1571" t="s">
        <v>177</v>
      </c>
      <c r="N1571" t="s">
        <v>2186</v>
      </c>
      <c r="O1571" t="s">
        <v>89</v>
      </c>
      <c r="P1571" t="str">
        <f>"4170073031                    "</f>
        <v xml:space="preserve">4170073031                    </v>
      </c>
      <c r="Q1571">
        <v>0</v>
      </c>
      <c r="R1571">
        <v>0</v>
      </c>
      <c r="S1571">
        <v>0</v>
      </c>
      <c r="T1571">
        <v>0</v>
      </c>
      <c r="U1571">
        <v>0</v>
      </c>
      <c r="V1571">
        <v>0</v>
      </c>
      <c r="W1571">
        <v>0</v>
      </c>
      <c r="X1571">
        <v>0</v>
      </c>
      <c r="Y1571">
        <v>0</v>
      </c>
      <c r="Z1571">
        <v>0</v>
      </c>
      <c r="AA1571">
        <v>0</v>
      </c>
      <c r="AB1571">
        <v>0</v>
      </c>
      <c r="AC1571">
        <v>0</v>
      </c>
      <c r="AD1571">
        <v>0</v>
      </c>
      <c r="AE1571">
        <v>0</v>
      </c>
      <c r="AF1571">
        <v>0</v>
      </c>
      <c r="AG1571">
        <v>0</v>
      </c>
      <c r="AH1571">
        <v>0</v>
      </c>
      <c r="AI1571">
        <v>0</v>
      </c>
      <c r="AJ1571">
        <v>0</v>
      </c>
      <c r="AK1571">
        <v>0</v>
      </c>
      <c r="AL1571">
        <v>0</v>
      </c>
      <c r="AM1571">
        <v>0</v>
      </c>
      <c r="AN1571">
        <v>0</v>
      </c>
      <c r="AO1571">
        <v>0</v>
      </c>
      <c r="AP1571">
        <v>0</v>
      </c>
      <c r="AQ1571">
        <v>19.940000000000001</v>
      </c>
      <c r="AR1571">
        <v>0</v>
      </c>
      <c r="AS1571">
        <v>0</v>
      </c>
      <c r="AT1571">
        <v>0</v>
      </c>
      <c r="AU1571">
        <v>0</v>
      </c>
      <c r="AV1571">
        <v>0</v>
      </c>
      <c r="AW1571">
        <v>0</v>
      </c>
      <c r="AX1571">
        <v>0</v>
      </c>
      <c r="AY1571">
        <v>0</v>
      </c>
      <c r="AZ1571">
        <v>0</v>
      </c>
      <c r="BA1571">
        <v>0</v>
      </c>
      <c r="BB1571">
        <v>0</v>
      </c>
      <c r="BC1571">
        <v>0</v>
      </c>
      <c r="BD1571">
        <v>0</v>
      </c>
      <c r="BE1571">
        <v>0</v>
      </c>
      <c r="BF1571">
        <v>0</v>
      </c>
      <c r="BG1571">
        <v>0</v>
      </c>
      <c r="BH1571">
        <v>1</v>
      </c>
      <c r="BI1571">
        <v>1</v>
      </c>
      <c r="BJ1571">
        <v>1.9</v>
      </c>
      <c r="BK1571">
        <v>2</v>
      </c>
      <c r="BL1571">
        <v>59.42</v>
      </c>
      <c r="BM1571">
        <v>8.91</v>
      </c>
      <c r="BN1571">
        <v>68.33</v>
      </c>
      <c r="BO1571">
        <v>68.33</v>
      </c>
      <c r="BQ1571" t="s">
        <v>2187</v>
      </c>
      <c r="BR1571" t="s">
        <v>82</v>
      </c>
      <c r="BS1571" t="s">
        <v>500</v>
      </c>
      <c r="BY1571">
        <v>9600</v>
      </c>
      <c r="CC1571" t="s">
        <v>177</v>
      </c>
      <c r="CD1571">
        <v>2065</v>
      </c>
      <c r="CE1571" t="s">
        <v>86</v>
      </c>
      <c r="CI1571">
        <v>1</v>
      </c>
      <c r="CJ1571" t="s">
        <v>500</v>
      </c>
      <c r="CK1571">
        <v>22</v>
      </c>
      <c r="CL1571" t="s">
        <v>87</v>
      </c>
    </row>
    <row r="1572" spans="1:90" x14ac:dyDescent="0.3">
      <c r="A1572" t="s">
        <v>72</v>
      </c>
      <c r="B1572" t="s">
        <v>73</v>
      </c>
      <c r="C1572" t="s">
        <v>74</v>
      </c>
      <c r="E1572" t="str">
        <f>"080069844926"</f>
        <v>080069844926</v>
      </c>
      <c r="F1572" s="3">
        <v>46002</v>
      </c>
      <c r="G1572">
        <v>202609</v>
      </c>
      <c r="H1572" t="s">
        <v>75</v>
      </c>
      <c r="I1572" t="s">
        <v>76</v>
      </c>
      <c r="J1572" t="s">
        <v>77</v>
      </c>
      <c r="K1572" t="s">
        <v>78</v>
      </c>
      <c r="L1572" t="s">
        <v>100</v>
      </c>
      <c r="M1572" t="s">
        <v>101</v>
      </c>
      <c r="N1572" t="s">
        <v>166</v>
      </c>
      <c r="O1572" t="s">
        <v>89</v>
      </c>
      <c r="P1572" t="str">
        <f>"4170072983                    "</f>
        <v xml:space="preserve">4170072983                    </v>
      </c>
      <c r="Q1572">
        <v>0</v>
      </c>
      <c r="R1572">
        <v>0</v>
      </c>
      <c r="S1572">
        <v>0</v>
      </c>
      <c r="T1572">
        <v>0</v>
      </c>
      <c r="U1572">
        <v>0</v>
      </c>
      <c r="V1572">
        <v>0</v>
      </c>
      <c r="W1572">
        <v>0</v>
      </c>
      <c r="X1572">
        <v>0</v>
      </c>
      <c r="Y1572">
        <v>0</v>
      </c>
      <c r="Z1572">
        <v>0</v>
      </c>
      <c r="AA1572">
        <v>0</v>
      </c>
      <c r="AB1572">
        <v>0</v>
      </c>
      <c r="AC1572">
        <v>0</v>
      </c>
      <c r="AD1572">
        <v>0</v>
      </c>
      <c r="AE1572">
        <v>0</v>
      </c>
      <c r="AF1572">
        <v>0</v>
      </c>
      <c r="AG1572">
        <v>0</v>
      </c>
      <c r="AH1572">
        <v>0</v>
      </c>
      <c r="AI1572">
        <v>0</v>
      </c>
      <c r="AJ1572">
        <v>0</v>
      </c>
      <c r="AK1572">
        <v>0</v>
      </c>
      <c r="AL1572">
        <v>0</v>
      </c>
      <c r="AM1572">
        <v>0</v>
      </c>
      <c r="AN1572">
        <v>0</v>
      </c>
      <c r="AO1572">
        <v>0</v>
      </c>
      <c r="AP1572">
        <v>0</v>
      </c>
      <c r="AQ1572">
        <v>38.28</v>
      </c>
      <c r="AR1572">
        <v>0</v>
      </c>
      <c r="AS1572">
        <v>0</v>
      </c>
      <c r="AT1572">
        <v>0</v>
      </c>
      <c r="AU1572">
        <v>0</v>
      </c>
      <c r="AV1572">
        <v>0</v>
      </c>
      <c r="AW1572">
        <v>0</v>
      </c>
      <c r="AX1572">
        <v>0</v>
      </c>
      <c r="AY1572">
        <v>0</v>
      </c>
      <c r="AZ1572">
        <v>0</v>
      </c>
      <c r="BA1572">
        <v>0</v>
      </c>
      <c r="BB1572">
        <v>0</v>
      </c>
      <c r="BC1572">
        <v>0</v>
      </c>
      <c r="BD1572">
        <v>0</v>
      </c>
      <c r="BE1572">
        <v>0</v>
      </c>
      <c r="BF1572">
        <v>0</v>
      </c>
      <c r="BG1572">
        <v>0</v>
      </c>
      <c r="BH1572">
        <v>1</v>
      </c>
      <c r="BI1572">
        <v>3</v>
      </c>
      <c r="BJ1572">
        <v>1.8</v>
      </c>
      <c r="BK1572">
        <v>3</v>
      </c>
      <c r="BL1572">
        <v>114.08</v>
      </c>
      <c r="BM1572">
        <v>17.11</v>
      </c>
      <c r="BN1572">
        <v>131.19</v>
      </c>
      <c r="BO1572">
        <v>131.19</v>
      </c>
      <c r="BQ1572" t="s">
        <v>167</v>
      </c>
      <c r="BR1572" t="s">
        <v>82</v>
      </c>
      <c r="BS1572" t="s">
        <v>500</v>
      </c>
      <c r="BY1572">
        <v>8816</v>
      </c>
      <c r="CC1572" t="s">
        <v>101</v>
      </c>
      <c r="CD1572">
        <v>4000</v>
      </c>
      <c r="CE1572" t="s">
        <v>86</v>
      </c>
      <c r="CI1572">
        <v>1</v>
      </c>
      <c r="CJ1572" t="s">
        <v>500</v>
      </c>
      <c r="CK1572">
        <v>21</v>
      </c>
      <c r="CL1572" t="s">
        <v>87</v>
      </c>
    </row>
    <row r="1573" spans="1:90" x14ac:dyDescent="0.3">
      <c r="A1573" t="s">
        <v>72</v>
      </c>
      <c r="B1573" t="s">
        <v>73</v>
      </c>
      <c r="C1573" t="s">
        <v>74</v>
      </c>
      <c r="E1573" t="str">
        <f>"080069844982"</f>
        <v>080069844982</v>
      </c>
      <c r="F1573" s="3">
        <v>46002</v>
      </c>
      <c r="G1573">
        <v>202609</v>
      </c>
      <c r="H1573" t="s">
        <v>75</v>
      </c>
      <c r="I1573" t="s">
        <v>76</v>
      </c>
      <c r="J1573" t="s">
        <v>77</v>
      </c>
      <c r="K1573" t="s">
        <v>78</v>
      </c>
      <c r="L1573" t="s">
        <v>1120</v>
      </c>
      <c r="M1573" t="s">
        <v>1121</v>
      </c>
      <c r="N1573" t="s">
        <v>2188</v>
      </c>
      <c r="O1573" t="s">
        <v>89</v>
      </c>
      <c r="P1573" t="str">
        <f>"4170073029                    "</f>
        <v xml:space="preserve">4170073029                    </v>
      </c>
      <c r="Q1573">
        <v>0</v>
      </c>
      <c r="R1573">
        <v>0</v>
      </c>
      <c r="S1573">
        <v>0</v>
      </c>
      <c r="T1573">
        <v>0</v>
      </c>
      <c r="U1573">
        <v>0</v>
      </c>
      <c r="V1573">
        <v>0</v>
      </c>
      <c r="W1573">
        <v>0</v>
      </c>
      <c r="X1573">
        <v>0</v>
      </c>
      <c r="Y1573">
        <v>0</v>
      </c>
      <c r="Z1573">
        <v>0</v>
      </c>
      <c r="AA1573">
        <v>0</v>
      </c>
      <c r="AB1573">
        <v>0</v>
      </c>
      <c r="AC1573">
        <v>0</v>
      </c>
      <c r="AD1573">
        <v>0</v>
      </c>
      <c r="AE1573">
        <v>0</v>
      </c>
      <c r="AF1573">
        <v>0</v>
      </c>
      <c r="AG1573">
        <v>0</v>
      </c>
      <c r="AH1573">
        <v>0</v>
      </c>
      <c r="AI1573">
        <v>0</v>
      </c>
      <c r="AJ1573">
        <v>0</v>
      </c>
      <c r="AK1573">
        <v>0</v>
      </c>
      <c r="AL1573">
        <v>0</v>
      </c>
      <c r="AM1573">
        <v>0</v>
      </c>
      <c r="AN1573">
        <v>0</v>
      </c>
      <c r="AO1573">
        <v>0</v>
      </c>
      <c r="AP1573">
        <v>0</v>
      </c>
      <c r="AQ1573">
        <v>183.44</v>
      </c>
      <c r="AR1573">
        <v>0</v>
      </c>
      <c r="AS1573">
        <v>0</v>
      </c>
      <c r="AT1573">
        <v>0</v>
      </c>
      <c r="AU1573">
        <v>0</v>
      </c>
      <c r="AV1573">
        <v>0</v>
      </c>
      <c r="AW1573">
        <v>0</v>
      </c>
      <c r="AX1573">
        <v>0</v>
      </c>
      <c r="AY1573">
        <v>0</v>
      </c>
      <c r="AZ1573">
        <v>0</v>
      </c>
      <c r="BA1573">
        <v>0</v>
      </c>
      <c r="BB1573">
        <v>0</v>
      </c>
      <c r="BC1573">
        <v>0</v>
      </c>
      <c r="BD1573">
        <v>0</v>
      </c>
      <c r="BE1573">
        <v>0</v>
      </c>
      <c r="BF1573">
        <v>0</v>
      </c>
      <c r="BG1573">
        <v>0</v>
      </c>
      <c r="BH1573">
        <v>2</v>
      </c>
      <c r="BI1573">
        <v>8</v>
      </c>
      <c r="BJ1573">
        <v>3.5</v>
      </c>
      <c r="BK1573">
        <v>8</v>
      </c>
      <c r="BL1573">
        <v>546.69000000000005</v>
      </c>
      <c r="BM1573">
        <v>82</v>
      </c>
      <c r="BN1573">
        <v>628.69000000000005</v>
      </c>
      <c r="BO1573">
        <v>628.69000000000005</v>
      </c>
      <c r="BQ1573" t="s">
        <v>2189</v>
      </c>
      <c r="BR1573" t="s">
        <v>82</v>
      </c>
      <c r="BS1573" t="s">
        <v>500</v>
      </c>
      <c r="BY1573">
        <v>17632</v>
      </c>
      <c r="CC1573" t="s">
        <v>1121</v>
      </c>
      <c r="CD1573" s="5" t="s">
        <v>1935</v>
      </c>
      <c r="CE1573" t="s">
        <v>86</v>
      </c>
      <c r="CI1573">
        <v>1</v>
      </c>
      <c r="CJ1573" t="s">
        <v>500</v>
      </c>
      <c r="CK1573">
        <v>23</v>
      </c>
      <c r="CL1573" t="s">
        <v>87</v>
      </c>
    </row>
    <row r="1574" spans="1:90" x14ac:dyDescent="0.3">
      <c r="A1574" t="s">
        <v>72</v>
      </c>
      <c r="B1574" t="s">
        <v>73</v>
      </c>
      <c r="C1574" t="s">
        <v>74</v>
      </c>
      <c r="E1574" t="str">
        <f>"080069845019"</f>
        <v>080069845019</v>
      </c>
      <c r="F1574" s="3">
        <v>46002</v>
      </c>
      <c r="G1574">
        <v>202609</v>
      </c>
      <c r="H1574" t="s">
        <v>75</v>
      </c>
      <c r="I1574" t="s">
        <v>76</v>
      </c>
      <c r="J1574" t="s">
        <v>77</v>
      </c>
      <c r="K1574" t="s">
        <v>78</v>
      </c>
      <c r="L1574" t="s">
        <v>302</v>
      </c>
      <c r="M1574" t="s">
        <v>303</v>
      </c>
      <c r="N1574" t="s">
        <v>425</v>
      </c>
      <c r="O1574" t="s">
        <v>89</v>
      </c>
      <c r="P1574" t="str">
        <f>"4170072988                    "</f>
        <v xml:space="preserve">4170072988                    </v>
      </c>
      <c r="Q1574">
        <v>0</v>
      </c>
      <c r="R1574">
        <v>0</v>
      </c>
      <c r="S1574">
        <v>0</v>
      </c>
      <c r="T1574">
        <v>0</v>
      </c>
      <c r="U1574">
        <v>0</v>
      </c>
      <c r="V1574">
        <v>0</v>
      </c>
      <c r="W1574">
        <v>0</v>
      </c>
      <c r="X1574">
        <v>0</v>
      </c>
      <c r="Y1574">
        <v>0</v>
      </c>
      <c r="Z1574">
        <v>0</v>
      </c>
      <c r="AA1574">
        <v>0</v>
      </c>
      <c r="AB1574">
        <v>0</v>
      </c>
      <c r="AC1574">
        <v>0</v>
      </c>
      <c r="AD1574">
        <v>0</v>
      </c>
      <c r="AE1574">
        <v>0</v>
      </c>
      <c r="AF1574">
        <v>0</v>
      </c>
      <c r="AG1574">
        <v>0</v>
      </c>
      <c r="AH1574">
        <v>0</v>
      </c>
      <c r="AI1574">
        <v>0</v>
      </c>
      <c r="AJ1574">
        <v>0</v>
      </c>
      <c r="AK1574">
        <v>0</v>
      </c>
      <c r="AL1574">
        <v>0</v>
      </c>
      <c r="AM1574">
        <v>0</v>
      </c>
      <c r="AN1574">
        <v>0</v>
      </c>
      <c r="AO1574">
        <v>0</v>
      </c>
      <c r="AP1574">
        <v>0</v>
      </c>
      <c r="AQ1574">
        <v>25.52</v>
      </c>
      <c r="AR1574">
        <v>0</v>
      </c>
      <c r="AS1574">
        <v>0</v>
      </c>
      <c r="AT1574">
        <v>0</v>
      </c>
      <c r="AU1574">
        <v>0</v>
      </c>
      <c r="AV1574">
        <v>0</v>
      </c>
      <c r="AW1574">
        <v>0</v>
      </c>
      <c r="AX1574">
        <v>0</v>
      </c>
      <c r="AY1574">
        <v>0</v>
      </c>
      <c r="AZ1574">
        <v>0</v>
      </c>
      <c r="BA1574">
        <v>0</v>
      </c>
      <c r="BB1574">
        <v>0</v>
      </c>
      <c r="BC1574">
        <v>0</v>
      </c>
      <c r="BD1574">
        <v>0</v>
      </c>
      <c r="BE1574">
        <v>0</v>
      </c>
      <c r="BF1574">
        <v>0</v>
      </c>
      <c r="BG1574">
        <v>0</v>
      </c>
      <c r="BH1574">
        <v>1</v>
      </c>
      <c r="BI1574">
        <v>2</v>
      </c>
      <c r="BJ1574">
        <v>2</v>
      </c>
      <c r="BK1574">
        <v>2</v>
      </c>
      <c r="BL1574">
        <v>76.06</v>
      </c>
      <c r="BM1574">
        <v>11.41</v>
      </c>
      <c r="BN1574">
        <v>87.47</v>
      </c>
      <c r="BO1574">
        <v>87.47</v>
      </c>
      <c r="BQ1574" t="s">
        <v>426</v>
      </c>
      <c r="BR1574" t="s">
        <v>82</v>
      </c>
      <c r="BS1574" t="s">
        <v>500</v>
      </c>
      <c r="BY1574">
        <v>9900</v>
      </c>
      <c r="CC1574" t="s">
        <v>303</v>
      </c>
      <c r="CD1574" s="5" t="s">
        <v>350</v>
      </c>
      <c r="CE1574" t="s">
        <v>86</v>
      </c>
      <c r="CI1574">
        <v>1</v>
      </c>
      <c r="CJ1574" t="s">
        <v>500</v>
      </c>
      <c r="CK1574">
        <v>21</v>
      </c>
      <c r="CL1574" t="s">
        <v>87</v>
      </c>
    </row>
    <row r="1575" spans="1:90" x14ac:dyDescent="0.3">
      <c r="A1575" t="s">
        <v>72</v>
      </c>
      <c r="B1575" t="s">
        <v>73</v>
      </c>
      <c r="C1575" t="s">
        <v>74</v>
      </c>
      <c r="E1575" t="str">
        <f>"080069845478"</f>
        <v>080069845478</v>
      </c>
      <c r="F1575" s="3">
        <v>46002</v>
      </c>
      <c r="G1575">
        <v>202609</v>
      </c>
      <c r="H1575" t="s">
        <v>75</v>
      </c>
      <c r="I1575" t="s">
        <v>76</v>
      </c>
      <c r="J1575" t="s">
        <v>77</v>
      </c>
      <c r="K1575" t="s">
        <v>78</v>
      </c>
      <c r="L1575" t="s">
        <v>465</v>
      </c>
      <c r="M1575" t="s">
        <v>466</v>
      </c>
      <c r="N1575" t="s">
        <v>2190</v>
      </c>
      <c r="O1575" t="s">
        <v>340</v>
      </c>
      <c r="P1575" t="str">
        <f>"4170072640                    "</f>
        <v xml:space="preserve">4170072640                    </v>
      </c>
      <c r="Q1575">
        <v>0</v>
      </c>
      <c r="R1575">
        <v>0</v>
      </c>
      <c r="S1575">
        <v>0</v>
      </c>
      <c r="T1575">
        <v>0</v>
      </c>
      <c r="U1575">
        <v>0</v>
      </c>
      <c r="V1575">
        <v>0</v>
      </c>
      <c r="W1575">
        <v>0</v>
      </c>
      <c r="X1575">
        <v>0</v>
      </c>
      <c r="Y1575">
        <v>0</v>
      </c>
      <c r="Z1575">
        <v>0</v>
      </c>
      <c r="AA1575">
        <v>0</v>
      </c>
      <c r="AB1575">
        <v>0</v>
      </c>
      <c r="AC1575">
        <v>0</v>
      </c>
      <c r="AD1575">
        <v>0</v>
      </c>
      <c r="AE1575">
        <v>0</v>
      </c>
      <c r="AF1575">
        <v>0</v>
      </c>
      <c r="AG1575">
        <v>0</v>
      </c>
      <c r="AH1575">
        <v>0</v>
      </c>
      <c r="AI1575">
        <v>0</v>
      </c>
      <c r="AJ1575">
        <v>0</v>
      </c>
      <c r="AK1575">
        <v>0</v>
      </c>
      <c r="AL1575">
        <v>0</v>
      </c>
      <c r="AM1575">
        <v>0</v>
      </c>
      <c r="AN1575">
        <v>0</v>
      </c>
      <c r="AO1575">
        <v>0</v>
      </c>
      <c r="AP1575">
        <v>0</v>
      </c>
      <c r="AQ1575">
        <v>31.13</v>
      </c>
      <c r="AR1575">
        <v>0</v>
      </c>
      <c r="AS1575">
        <v>0</v>
      </c>
      <c r="AT1575">
        <v>0</v>
      </c>
      <c r="AU1575">
        <v>0</v>
      </c>
      <c r="AV1575">
        <v>0</v>
      </c>
      <c r="AW1575">
        <v>0</v>
      </c>
      <c r="AX1575">
        <v>0</v>
      </c>
      <c r="AY1575">
        <v>0</v>
      </c>
      <c r="AZ1575">
        <v>0</v>
      </c>
      <c r="BA1575">
        <v>0</v>
      </c>
      <c r="BB1575">
        <v>0</v>
      </c>
      <c r="BC1575">
        <v>0</v>
      </c>
      <c r="BD1575">
        <v>0</v>
      </c>
      <c r="BE1575">
        <v>0</v>
      </c>
      <c r="BF1575">
        <v>0</v>
      </c>
      <c r="BG1575">
        <v>0</v>
      </c>
      <c r="BH1575">
        <v>1</v>
      </c>
      <c r="BI1575">
        <v>9</v>
      </c>
      <c r="BJ1575">
        <v>12.2</v>
      </c>
      <c r="BK1575">
        <v>13</v>
      </c>
      <c r="BL1575">
        <v>92.77</v>
      </c>
      <c r="BM1575">
        <v>13.92</v>
      </c>
      <c r="BN1575">
        <v>106.69</v>
      </c>
      <c r="BO1575">
        <v>106.69</v>
      </c>
      <c r="BQ1575" t="s">
        <v>2191</v>
      </c>
      <c r="BR1575" t="s">
        <v>82</v>
      </c>
      <c r="BS1575" t="s">
        <v>500</v>
      </c>
      <c r="BY1575">
        <v>60800</v>
      </c>
      <c r="CC1575" t="s">
        <v>466</v>
      </c>
      <c r="CD1575">
        <v>1428</v>
      </c>
      <c r="CE1575" t="s">
        <v>93</v>
      </c>
      <c r="CI1575">
        <v>1</v>
      </c>
      <c r="CJ1575" t="s">
        <v>500</v>
      </c>
      <c r="CK1575">
        <v>32</v>
      </c>
      <c r="CL1575" t="s">
        <v>87</v>
      </c>
    </row>
    <row r="1576" spans="1:90" x14ac:dyDescent="0.3">
      <c r="A1576" t="s">
        <v>72</v>
      </c>
      <c r="B1576" t="s">
        <v>73</v>
      </c>
      <c r="C1576" t="s">
        <v>74</v>
      </c>
      <c r="E1576" t="str">
        <f>"080069845512"</f>
        <v>080069845512</v>
      </c>
      <c r="F1576" s="3">
        <v>46002</v>
      </c>
      <c r="G1576">
        <v>202609</v>
      </c>
      <c r="H1576" t="s">
        <v>75</v>
      </c>
      <c r="I1576" t="s">
        <v>76</v>
      </c>
      <c r="J1576" t="s">
        <v>77</v>
      </c>
      <c r="K1576" t="s">
        <v>78</v>
      </c>
      <c r="L1576" t="s">
        <v>645</v>
      </c>
      <c r="M1576" t="s">
        <v>646</v>
      </c>
      <c r="N1576" t="s">
        <v>647</v>
      </c>
      <c r="O1576" t="s">
        <v>89</v>
      </c>
      <c r="P1576" t="str">
        <f>"4170072982                    "</f>
        <v xml:space="preserve">4170072982                    </v>
      </c>
      <c r="Q1576">
        <v>0</v>
      </c>
      <c r="R1576">
        <v>0</v>
      </c>
      <c r="S1576">
        <v>0</v>
      </c>
      <c r="T1576">
        <v>0</v>
      </c>
      <c r="U1576">
        <v>0</v>
      </c>
      <c r="V1576">
        <v>0</v>
      </c>
      <c r="W1576">
        <v>0</v>
      </c>
      <c r="X1576">
        <v>0</v>
      </c>
      <c r="Y1576">
        <v>0</v>
      </c>
      <c r="Z1576">
        <v>0</v>
      </c>
      <c r="AA1576">
        <v>0</v>
      </c>
      <c r="AB1576">
        <v>0</v>
      </c>
      <c r="AC1576">
        <v>0</v>
      </c>
      <c r="AD1576">
        <v>0</v>
      </c>
      <c r="AE1576">
        <v>0</v>
      </c>
      <c r="AF1576">
        <v>0</v>
      </c>
      <c r="AG1576">
        <v>0</v>
      </c>
      <c r="AH1576">
        <v>0</v>
      </c>
      <c r="AI1576">
        <v>0</v>
      </c>
      <c r="AJ1576">
        <v>0</v>
      </c>
      <c r="AK1576">
        <v>0</v>
      </c>
      <c r="AL1576">
        <v>0</v>
      </c>
      <c r="AM1576">
        <v>0</v>
      </c>
      <c r="AN1576">
        <v>0</v>
      </c>
      <c r="AO1576">
        <v>0</v>
      </c>
      <c r="AP1576">
        <v>0</v>
      </c>
      <c r="AQ1576">
        <v>49.45</v>
      </c>
      <c r="AR1576">
        <v>0</v>
      </c>
      <c r="AS1576">
        <v>0</v>
      </c>
      <c r="AT1576">
        <v>0</v>
      </c>
      <c r="AU1576">
        <v>0</v>
      </c>
      <c r="AV1576">
        <v>0</v>
      </c>
      <c r="AW1576">
        <v>17.41</v>
      </c>
      <c r="AX1576">
        <v>0</v>
      </c>
      <c r="AY1576">
        <v>0</v>
      </c>
      <c r="AZ1576">
        <v>0</v>
      </c>
      <c r="BA1576">
        <v>0</v>
      </c>
      <c r="BB1576">
        <v>0</v>
      </c>
      <c r="BC1576">
        <v>0</v>
      </c>
      <c r="BD1576">
        <v>0</v>
      </c>
      <c r="BE1576">
        <v>0</v>
      </c>
      <c r="BF1576">
        <v>0</v>
      </c>
      <c r="BG1576">
        <v>0</v>
      </c>
      <c r="BH1576">
        <v>1</v>
      </c>
      <c r="BI1576">
        <v>1</v>
      </c>
      <c r="BJ1576">
        <v>1.9</v>
      </c>
      <c r="BK1576">
        <v>2</v>
      </c>
      <c r="BL1576">
        <v>164.79</v>
      </c>
      <c r="BM1576">
        <v>24.72</v>
      </c>
      <c r="BN1576">
        <v>189.51</v>
      </c>
      <c r="BO1576">
        <v>189.51</v>
      </c>
      <c r="BQ1576" t="s">
        <v>648</v>
      </c>
      <c r="BR1576" t="s">
        <v>82</v>
      </c>
      <c r="BS1576" t="s">
        <v>500</v>
      </c>
      <c r="BY1576">
        <v>9600</v>
      </c>
      <c r="BZ1576" t="s">
        <v>30</v>
      </c>
      <c r="CC1576" t="s">
        <v>646</v>
      </c>
      <c r="CD1576">
        <v>3875</v>
      </c>
      <c r="CE1576" t="s">
        <v>86</v>
      </c>
      <c r="CI1576">
        <v>2</v>
      </c>
      <c r="CJ1576" t="s">
        <v>500</v>
      </c>
      <c r="CK1576">
        <v>23</v>
      </c>
      <c r="CL1576" t="s">
        <v>87</v>
      </c>
    </row>
    <row r="1577" spans="1:90" x14ac:dyDescent="0.3">
      <c r="A1577" t="s">
        <v>72</v>
      </c>
      <c r="B1577" t="s">
        <v>73</v>
      </c>
      <c r="C1577" t="s">
        <v>74</v>
      </c>
      <c r="E1577" t="str">
        <f>"080069845551"</f>
        <v>080069845551</v>
      </c>
      <c r="F1577" s="3">
        <v>46002</v>
      </c>
      <c r="G1577">
        <v>202609</v>
      </c>
      <c r="H1577" t="s">
        <v>75</v>
      </c>
      <c r="I1577" t="s">
        <v>76</v>
      </c>
      <c r="J1577" t="s">
        <v>77</v>
      </c>
      <c r="K1577" t="s">
        <v>78</v>
      </c>
      <c r="L1577" t="s">
        <v>156</v>
      </c>
      <c r="M1577" t="s">
        <v>157</v>
      </c>
      <c r="N1577" t="s">
        <v>261</v>
      </c>
      <c r="O1577" t="s">
        <v>89</v>
      </c>
      <c r="P1577" t="str">
        <f>"4170073078                    "</f>
        <v xml:space="preserve">4170073078                    </v>
      </c>
      <c r="Q1577">
        <v>0</v>
      </c>
      <c r="R1577">
        <v>0</v>
      </c>
      <c r="S1577">
        <v>0</v>
      </c>
      <c r="T1577">
        <v>0</v>
      </c>
      <c r="U1577">
        <v>0</v>
      </c>
      <c r="V1577">
        <v>0</v>
      </c>
      <c r="W1577">
        <v>0</v>
      </c>
      <c r="X1577">
        <v>0</v>
      </c>
      <c r="Y1577">
        <v>0</v>
      </c>
      <c r="Z1577">
        <v>0</v>
      </c>
      <c r="AA1577">
        <v>0</v>
      </c>
      <c r="AB1577">
        <v>0</v>
      </c>
      <c r="AC1577">
        <v>0</v>
      </c>
      <c r="AD1577">
        <v>0</v>
      </c>
      <c r="AE1577">
        <v>0</v>
      </c>
      <c r="AF1577">
        <v>0</v>
      </c>
      <c r="AG1577">
        <v>0</v>
      </c>
      <c r="AH1577">
        <v>0</v>
      </c>
      <c r="AI1577">
        <v>0</v>
      </c>
      <c r="AJ1577">
        <v>0</v>
      </c>
      <c r="AK1577">
        <v>0</v>
      </c>
      <c r="AL1577">
        <v>0</v>
      </c>
      <c r="AM1577">
        <v>0</v>
      </c>
      <c r="AN1577">
        <v>0</v>
      </c>
      <c r="AO1577">
        <v>0</v>
      </c>
      <c r="AP1577">
        <v>0</v>
      </c>
      <c r="AQ1577">
        <v>25.52</v>
      </c>
      <c r="AR1577">
        <v>0</v>
      </c>
      <c r="AS1577">
        <v>0</v>
      </c>
      <c r="AT1577">
        <v>0</v>
      </c>
      <c r="AU1577">
        <v>0</v>
      </c>
      <c r="AV1577">
        <v>0</v>
      </c>
      <c r="AW1577">
        <v>0</v>
      </c>
      <c r="AX1577">
        <v>0</v>
      </c>
      <c r="AY1577">
        <v>0</v>
      </c>
      <c r="AZ1577">
        <v>0</v>
      </c>
      <c r="BA1577">
        <v>0</v>
      </c>
      <c r="BB1577">
        <v>0</v>
      </c>
      <c r="BC1577">
        <v>0</v>
      </c>
      <c r="BD1577">
        <v>0</v>
      </c>
      <c r="BE1577">
        <v>0</v>
      </c>
      <c r="BF1577">
        <v>0</v>
      </c>
      <c r="BG1577">
        <v>0</v>
      </c>
      <c r="BH1577">
        <v>1</v>
      </c>
      <c r="BI1577">
        <v>1</v>
      </c>
      <c r="BJ1577">
        <v>0.2</v>
      </c>
      <c r="BK1577">
        <v>1</v>
      </c>
      <c r="BL1577">
        <v>76.06</v>
      </c>
      <c r="BM1577">
        <v>11.41</v>
      </c>
      <c r="BN1577">
        <v>87.47</v>
      </c>
      <c r="BO1577">
        <v>87.47</v>
      </c>
      <c r="BQ1577" t="s">
        <v>262</v>
      </c>
      <c r="BR1577" t="s">
        <v>82</v>
      </c>
      <c r="BS1577" t="s">
        <v>500</v>
      </c>
      <c r="BY1577">
        <v>1200</v>
      </c>
      <c r="CC1577" t="s">
        <v>157</v>
      </c>
      <c r="CD1577">
        <v>7441</v>
      </c>
      <c r="CE1577" t="s">
        <v>134</v>
      </c>
      <c r="CI1577">
        <v>1</v>
      </c>
      <c r="CJ1577" t="s">
        <v>500</v>
      </c>
      <c r="CK1577">
        <v>21</v>
      </c>
      <c r="CL1577" t="s">
        <v>87</v>
      </c>
    </row>
    <row r="1578" spans="1:90" x14ac:dyDescent="0.3">
      <c r="A1578" t="s">
        <v>72</v>
      </c>
      <c r="B1578" t="s">
        <v>73</v>
      </c>
      <c r="C1578" t="s">
        <v>74</v>
      </c>
      <c r="E1578" t="str">
        <f>"080069845617"</f>
        <v>080069845617</v>
      </c>
      <c r="F1578" s="3">
        <v>46002</v>
      </c>
      <c r="G1578">
        <v>202609</v>
      </c>
      <c r="H1578" t="s">
        <v>75</v>
      </c>
      <c r="I1578" t="s">
        <v>76</v>
      </c>
      <c r="J1578" t="s">
        <v>77</v>
      </c>
      <c r="K1578" t="s">
        <v>78</v>
      </c>
      <c r="L1578" t="s">
        <v>120</v>
      </c>
      <c r="M1578" t="s">
        <v>121</v>
      </c>
      <c r="N1578" t="s">
        <v>1736</v>
      </c>
      <c r="O1578" t="s">
        <v>89</v>
      </c>
      <c r="P1578" t="str">
        <f>"4170073082                    "</f>
        <v xml:space="preserve">4170073082                    </v>
      </c>
      <c r="Q1578">
        <v>0</v>
      </c>
      <c r="R1578">
        <v>0</v>
      </c>
      <c r="S1578">
        <v>0</v>
      </c>
      <c r="T1578">
        <v>0</v>
      </c>
      <c r="U1578">
        <v>0</v>
      </c>
      <c r="V1578">
        <v>0</v>
      </c>
      <c r="W1578">
        <v>0</v>
      </c>
      <c r="X1578">
        <v>0</v>
      </c>
      <c r="Y1578">
        <v>0</v>
      </c>
      <c r="Z1578">
        <v>0</v>
      </c>
      <c r="AA1578">
        <v>0</v>
      </c>
      <c r="AB1578">
        <v>0</v>
      </c>
      <c r="AC1578">
        <v>0</v>
      </c>
      <c r="AD1578">
        <v>0</v>
      </c>
      <c r="AE1578">
        <v>0</v>
      </c>
      <c r="AF1578">
        <v>0</v>
      </c>
      <c r="AG1578">
        <v>0</v>
      </c>
      <c r="AH1578">
        <v>0</v>
      </c>
      <c r="AI1578">
        <v>0</v>
      </c>
      <c r="AJ1578">
        <v>0</v>
      </c>
      <c r="AK1578">
        <v>0</v>
      </c>
      <c r="AL1578">
        <v>0</v>
      </c>
      <c r="AM1578">
        <v>0</v>
      </c>
      <c r="AN1578">
        <v>0</v>
      </c>
      <c r="AO1578">
        <v>0</v>
      </c>
      <c r="AP1578">
        <v>0</v>
      </c>
      <c r="AQ1578">
        <v>25.52</v>
      </c>
      <c r="AR1578">
        <v>0</v>
      </c>
      <c r="AS1578">
        <v>0</v>
      </c>
      <c r="AT1578">
        <v>0</v>
      </c>
      <c r="AU1578">
        <v>0</v>
      </c>
      <c r="AV1578">
        <v>0</v>
      </c>
      <c r="AW1578">
        <v>0</v>
      </c>
      <c r="AX1578">
        <v>0</v>
      </c>
      <c r="AY1578">
        <v>0</v>
      </c>
      <c r="AZ1578">
        <v>0</v>
      </c>
      <c r="BA1578">
        <v>0</v>
      </c>
      <c r="BB1578">
        <v>0</v>
      </c>
      <c r="BC1578">
        <v>0</v>
      </c>
      <c r="BD1578">
        <v>0</v>
      </c>
      <c r="BE1578">
        <v>0</v>
      </c>
      <c r="BF1578">
        <v>0</v>
      </c>
      <c r="BG1578">
        <v>0</v>
      </c>
      <c r="BH1578">
        <v>1</v>
      </c>
      <c r="BI1578">
        <v>1</v>
      </c>
      <c r="BJ1578">
        <v>0.2</v>
      </c>
      <c r="BK1578">
        <v>1</v>
      </c>
      <c r="BL1578">
        <v>76.06</v>
      </c>
      <c r="BM1578">
        <v>11.41</v>
      </c>
      <c r="BN1578">
        <v>87.47</v>
      </c>
      <c r="BO1578">
        <v>87.47</v>
      </c>
      <c r="BQ1578" t="s">
        <v>1737</v>
      </c>
      <c r="BR1578" t="s">
        <v>82</v>
      </c>
      <c r="BS1578" t="s">
        <v>500</v>
      </c>
      <c r="BY1578">
        <v>1200</v>
      </c>
      <c r="CC1578" t="s">
        <v>121</v>
      </c>
      <c r="CD1578">
        <v>6229</v>
      </c>
      <c r="CE1578" t="s">
        <v>134</v>
      </c>
      <c r="CI1578">
        <v>1</v>
      </c>
      <c r="CJ1578" t="s">
        <v>500</v>
      </c>
      <c r="CK1578">
        <v>21</v>
      </c>
      <c r="CL1578" t="s">
        <v>87</v>
      </c>
    </row>
    <row r="1579" spans="1:90" x14ac:dyDescent="0.3">
      <c r="A1579" t="s">
        <v>72</v>
      </c>
      <c r="B1579" t="s">
        <v>73</v>
      </c>
      <c r="C1579" t="s">
        <v>74</v>
      </c>
      <c r="E1579" t="str">
        <f>"080069845669"</f>
        <v>080069845669</v>
      </c>
      <c r="F1579" s="3">
        <v>46002</v>
      </c>
      <c r="G1579">
        <v>202609</v>
      </c>
      <c r="H1579" t="s">
        <v>75</v>
      </c>
      <c r="I1579" t="s">
        <v>76</v>
      </c>
      <c r="J1579" t="s">
        <v>77</v>
      </c>
      <c r="K1579" t="s">
        <v>78</v>
      </c>
      <c r="L1579" t="s">
        <v>100</v>
      </c>
      <c r="M1579" t="s">
        <v>101</v>
      </c>
      <c r="N1579" t="s">
        <v>102</v>
      </c>
      <c r="O1579" t="s">
        <v>89</v>
      </c>
      <c r="P1579" t="str">
        <f>"4170073002                    "</f>
        <v xml:space="preserve">4170073002                    </v>
      </c>
      <c r="Q1579">
        <v>0</v>
      </c>
      <c r="R1579">
        <v>0</v>
      </c>
      <c r="S1579">
        <v>0</v>
      </c>
      <c r="T1579">
        <v>0</v>
      </c>
      <c r="U1579">
        <v>0</v>
      </c>
      <c r="V1579">
        <v>0</v>
      </c>
      <c r="W1579">
        <v>0</v>
      </c>
      <c r="X1579">
        <v>0</v>
      </c>
      <c r="Y1579">
        <v>0</v>
      </c>
      <c r="Z1579">
        <v>0</v>
      </c>
      <c r="AA1579">
        <v>0</v>
      </c>
      <c r="AB1579">
        <v>0</v>
      </c>
      <c r="AC1579">
        <v>0</v>
      </c>
      <c r="AD1579">
        <v>0</v>
      </c>
      <c r="AE1579">
        <v>0</v>
      </c>
      <c r="AF1579">
        <v>0</v>
      </c>
      <c r="AG1579">
        <v>0</v>
      </c>
      <c r="AH1579">
        <v>0</v>
      </c>
      <c r="AI1579">
        <v>0</v>
      </c>
      <c r="AJ1579">
        <v>0</v>
      </c>
      <c r="AK1579">
        <v>0</v>
      </c>
      <c r="AL1579">
        <v>0</v>
      </c>
      <c r="AM1579">
        <v>0</v>
      </c>
      <c r="AN1579">
        <v>0</v>
      </c>
      <c r="AO1579">
        <v>0</v>
      </c>
      <c r="AP1579">
        <v>0</v>
      </c>
      <c r="AQ1579">
        <v>25.52</v>
      </c>
      <c r="AR1579">
        <v>0</v>
      </c>
      <c r="AS1579">
        <v>0</v>
      </c>
      <c r="AT1579">
        <v>0</v>
      </c>
      <c r="AU1579">
        <v>0</v>
      </c>
      <c r="AV1579">
        <v>0</v>
      </c>
      <c r="AW1579">
        <v>0</v>
      </c>
      <c r="AX1579">
        <v>0</v>
      </c>
      <c r="AY1579">
        <v>0</v>
      </c>
      <c r="AZ1579">
        <v>0</v>
      </c>
      <c r="BA1579">
        <v>0</v>
      </c>
      <c r="BB1579">
        <v>0</v>
      </c>
      <c r="BC1579">
        <v>0</v>
      </c>
      <c r="BD1579">
        <v>0</v>
      </c>
      <c r="BE1579">
        <v>0</v>
      </c>
      <c r="BF1579">
        <v>0</v>
      </c>
      <c r="BG1579">
        <v>0</v>
      </c>
      <c r="BH1579">
        <v>1</v>
      </c>
      <c r="BI1579">
        <v>1</v>
      </c>
      <c r="BJ1579">
        <v>0.2</v>
      </c>
      <c r="BK1579">
        <v>1</v>
      </c>
      <c r="BL1579">
        <v>76.06</v>
      </c>
      <c r="BM1579">
        <v>11.41</v>
      </c>
      <c r="BN1579">
        <v>87.47</v>
      </c>
      <c r="BO1579">
        <v>87.47</v>
      </c>
      <c r="BQ1579" t="s">
        <v>103</v>
      </c>
      <c r="BR1579" t="s">
        <v>82</v>
      </c>
      <c r="BS1579" t="s">
        <v>500</v>
      </c>
      <c r="BY1579">
        <v>1200</v>
      </c>
      <c r="CC1579" t="s">
        <v>101</v>
      </c>
      <c r="CD1579">
        <v>4000</v>
      </c>
      <c r="CE1579" t="s">
        <v>134</v>
      </c>
      <c r="CI1579">
        <v>1</v>
      </c>
      <c r="CJ1579" t="s">
        <v>500</v>
      </c>
      <c r="CK1579">
        <v>21</v>
      </c>
      <c r="CL1579" t="s">
        <v>87</v>
      </c>
    </row>
    <row r="1580" spans="1:90" x14ac:dyDescent="0.3">
      <c r="A1580" t="s">
        <v>72</v>
      </c>
      <c r="B1580" t="s">
        <v>73</v>
      </c>
      <c r="C1580" t="s">
        <v>74</v>
      </c>
      <c r="E1580" t="str">
        <f>"080069845716"</f>
        <v>080069845716</v>
      </c>
      <c r="F1580" s="3">
        <v>46002</v>
      </c>
      <c r="G1580">
        <v>202609</v>
      </c>
      <c r="H1580" t="s">
        <v>75</v>
      </c>
      <c r="I1580" t="s">
        <v>76</v>
      </c>
      <c r="J1580" t="s">
        <v>77</v>
      </c>
      <c r="K1580" t="s">
        <v>78</v>
      </c>
      <c r="L1580" t="s">
        <v>458</v>
      </c>
      <c r="M1580" t="s">
        <v>459</v>
      </c>
      <c r="N1580" t="s">
        <v>460</v>
      </c>
      <c r="O1580" t="s">
        <v>89</v>
      </c>
      <c r="P1580" t="str">
        <f>"4170072904                    "</f>
        <v xml:space="preserve">4170072904                    </v>
      </c>
      <c r="Q1580">
        <v>0</v>
      </c>
      <c r="R1580">
        <v>0</v>
      </c>
      <c r="S1580">
        <v>0</v>
      </c>
      <c r="T1580">
        <v>0</v>
      </c>
      <c r="U1580">
        <v>0</v>
      </c>
      <c r="V1580">
        <v>0</v>
      </c>
      <c r="W1580">
        <v>0</v>
      </c>
      <c r="X1580">
        <v>0</v>
      </c>
      <c r="Y1580">
        <v>0</v>
      </c>
      <c r="Z1580">
        <v>0</v>
      </c>
      <c r="AA1580">
        <v>0</v>
      </c>
      <c r="AB1580">
        <v>0</v>
      </c>
      <c r="AC1580">
        <v>0</v>
      </c>
      <c r="AD1580">
        <v>0</v>
      </c>
      <c r="AE1580">
        <v>0</v>
      </c>
      <c r="AF1580">
        <v>0</v>
      </c>
      <c r="AG1580">
        <v>0</v>
      </c>
      <c r="AH1580">
        <v>0</v>
      </c>
      <c r="AI1580">
        <v>0</v>
      </c>
      <c r="AJ1580">
        <v>0</v>
      </c>
      <c r="AK1580">
        <v>0</v>
      </c>
      <c r="AL1580">
        <v>0</v>
      </c>
      <c r="AM1580">
        <v>0</v>
      </c>
      <c r="AN1580">
        <v>0</v>
      </c>
      <c r="AO1580">
        <v>0</v>
      </c>
      <c r="AP1580">
        <v>0</v>
      </c>
      <c r="AQ1580">
        <v>49.45</v>
      </c>
      <c r="AR1580">
        <v>0</v>
      </c>
      <c r="AS1580">
        <v>0</v>
      </c>
      <c r="AT1580">
        <v>0</v>
      </c>
      <c r="AU1580">
        <v>0</v>
      </c>
      <c r="AV1580">
        <v>0</v>
      </c>
      <c r="AW1580">
        <v>0</v>
      </c>
      <c r="AX1580">
        <v>0</v>
      </c>
      <c r="AY1580">
        <v>0</v>
      </c>
      <c r="AZ1580">
        <v>0</v>
      </c>
      <c r="BA1580">
        <v>0</v>
      </c>
      <c r="BB1580">
        <v>0</v>
      </c>
      <c r="BC1580">
        <v>0</v>
      </c>
      <c r="BD1580">
        <v>0</v>
      </c>
      <c r="BE1580">
        <v>0</v>
      </c>
      <c r="BF1580">
        <v>0</v>
      </c>
      <c r="BG1580">
        <v>0</v>
      </c>
      <c r="BH1580">
        <v>1</v>
      </c>
      <c r="BI1580">
        <v>1</v>
      </c>
      <c r="BJ1580">
        <v>0.2</v>
      </c>
      <c r="BK1580">
        <v>1</v>
      </c>
      <c r="BL1580">
        <v>147.38</v>
      </c>
      <c r="BM1580">
        <v>22.11</v>
      </c>
      <c r="BN1580">
        <v>169.49</v>
      </c>
      <c r="BO1580">
        <v>169.49</v>
      </c>
      <c r="BQ1580" t="s">
        <v>461</v>
      </c>
      <c r="BR1580" t="s">
        <v>82</v>
      </c>
      <c r="BS1580" t="s">
        <v>500</v>
      </c>
      <c r="BY1580">
        <v>1200</v>
      </c>
      <c r="CC1580" t="s">
        <v>459</v>
      </c>
      <c r="CD1580">
        <v>7130</v>
      </c>
      <c r="CE1580" t="s">
        <v>134</v>
      </c>
      <c r="CI1580">
        <v>1</v>
      </c>
      <c r="CJ1580" t="s">
        <v>500</v>
      </c>
      <c r="CK1580">
        <v>23</v>
      </c>
      <c r="CL1580" t="s">
        <v>87</v>
      </c>
    </row>
    <row r="1581" spans="1:90" x14ac:dyDescent="0.3">
      <c r="A1581" t="s">
        <v>72</v>
      </c>
      <c r="B1581" t="s">
        <v>73</v>
      </c>
      <c r="C1581" t="s">
        <v>74</v>
      </c>
      <c r="E1581" t="str">
        <f>"080069845726"</f>
        <v>080069845726</v>
      </c>
      <c r="F1581" s="3">
        <v>46002</v>
      </c>
      <c r="G1581">
        <v>202609</v>
      </c>
      <c r="H1581" t="s">
        <v>75</v>
      </c>
      <c r="I1581" t="s">
        <v>76</v>
      </c>
      <c r="J1581" t="s">
        <v>77</v>
      </c>
      <c r="K1581" t="s">
        <v>78</v>
      </c>
      <c r="L1581" t="s">
        <v>265</v>
      </c>
      <c r="M1581" t="s">
        <v>266</v>
      </c>
      <c r="N1581" t="s">
        <v>1787</v>
      </c>
      <c r="O1581" t="s">
        <v>89</v>
      </c>
      <c r="P1581" t="str">
        <f>"4170073051                    "</f>
        <v xml:space="preserve">4170073051                    </v>
      </c>
      <c r="Q1581">
        <v>0</v>
      </c>
      <c r="R1581">
        <v>0</v>
      </c>
      <c r="S1581">
        <v>0</v>
      </c>
      <c r="T1581">
        <v>0</v>
      </c>
      <c r="U1581">
        <v>0</v>
      </c>
      <c r="V1581">
        <v>0</v>
      </c>
      <c r="W1581">
        <v>0</v>
      </c>
      <c r="X1581">
        <v>0</v>
      </c>
      <c r="Y1581">
        <v>0</v>
      </c>
      <c r="Z1581">
        <v>0</v>
      </c>
      <c r="AA1581">
        <v>0</v>
      </c>
      <c r="AB1581">
        <v>0</v>
      </c>
      <c r="AC1581">
        <v>0</v>
      </c>
      <c r="AD1581">
        <v>0</v>
      </c>
      <c r="AE1581">
        <v>0</v>
      </c>
      <c r="AF1581">
        <v>0</v>
      </c>
      <c r="AG1581">
        <v>0</v>
      </c>
      <c r="AH1581">
        <v>0</v>
      </c>
      <c r="AI1581">
        <v>0</v>
      </c>
      <c r="AJ1581">
        <v>0</v>
      </c>
      <c r="AK1581">
        <v>0</v>
      </c>
      <c r="AL1581">
        <v>0</v>
      </c>
      <c r="AM1581">
        <v>0</v>
      </c>
      <c r="AN1581">
        <v>0</v>
      </c>
      <c r="AO1581">
        <v>0</v>
      </c>
      <c r="AP1581">
        <v>0</v>
      </c>
      <c r="AQ1581">
        <v>19.940000000000001</v>
      </c>
      <c r="AR1581">
        <v>0</v>
      </c>
      <c r="AS1581">
        <v>0</v>
      </c>
      <c r="AT1581">
        <v>0</v>
      </c>
      <c r="AU1581">
        <v>0</v>
      </c>
      <c r="AV1581">
        <v>0</v>
      </c>
      <c r="AW1581">
        <v>0</v>
      </c>
      <c r="AX1581">
        <v>0</v>
      </c>
      <c r="AY1581">
        <v>0</v>
      </c>
      <c r="AZ1581">
        <v>0</v>
      </c>
      <c r="BA1581">
        <v>0</v>
      </c>
      <c r="BB1581">
        <v>0</v>
      </c>
      <c r="BC1581">
        <v>0</v>
      </c>
      <c r="BD1581">
        <v>0</v>
      </c>
      <c r="BE1581">
        <v>0</v>
      </c>
      <c r="BF1581">
        <v>0</v>
      </c>
      <c r="BG1581">
        <v>0</v>
      </c>
      <c r="BH1581">
        <v>1</v>
      </c>
      <c r="BI1581">
        <v>1</v>
      </c>
      <c r="BJ1581">
        <v>1.1000000000000001</v>
      </c>
      <c r="BK1581">
        <v>2</v>
      </c>
      <c r="BL1581">
        <v>59.42</v>
      </c>
      <c r="BM1581">
        <v>8.91</v>
      </c>
      <c r="BN1581">
        <v>68.33</v>
      </c>
      <c r="BO1581">
        <v>68.33</v>
      </c>
      <c r="BQ1581" t="s">
        <v>1788</v>
      </c>
      <c r="BR1581" t="s">
        <v>82</v>
      </c>
      <c r="BS1581" s="3">
        <v>46003</v>
      </c>
      <c r="BT1581" s="4">
        <v>0.31666666666666665</v>
      </c>
      <c r="BU1581" t="s">
        <v>2192</v>
      </c>
      <c r="BV1581" t="s">
        <v>84</v>
      </c>
      <c r="BY1581">
        <v>5510</v>
      </c>
      <c r="CA1581" t="s">
        <v>417</v>
      </c>
      <c r="CC1581" t="s">
        <v>266</v>
      </c>
      <c r="CD1581">
        <v>1459</v>
      </c>
      <c r="CE1581" t="s">
        <v>86</v>
      </c>
      <c r="CI1581">
        <v>1</v>
      </c>
      <c r="CJ1581">
        <v>1</v>
      </c>
      <c r="CK1581">
        <v>22</v>
      </c>
      <c r="CL1581" t="s">
        <v>87</v>
      </c>
    </row>
    <row r="1582" spans="1:90" x14ac:dyDescent="0.3">
      <c r="A1582" t="s">
        <v>72</v>
      </c>
      <c r="B1582" t="s">
        <v>73</v>
      </c>
      <c r="C1582" t="s">
        <v>74</v>
      </c>
      <c r="E1582" t="str">
        <f>"080069845746"</f>
        <v>080069845746</v>
      </c>
      <c r="F1582" s="3">
        <v>46002</v>
      </c>
      <c r="G1582">
        <v>202609</v>
      </c>
      <c r="H1582" t="s">
        <v>75</v>
      </c>
      <c r="I1582" t="s">
        <v>76</v>
      </c>
      <c r="J1582" t="s">
        <v>77</v>
      </c>
      <c r="K1582" t="s">
        <v>78</v>
      </c>
      <c r="L1582" t="s">
        <v>94</v>
      </c>
      <c r="M1582" t="s">
        <v>95</v>
      </c>
      <c r="N1582" t="s">
        <v>96</v>
      </c>
      <c r="O1582" t="s">
        <v>89</v>
      </c>
      <c r="P1582" t="str">
        <f>"4170073054                    "</f>
        <v xml:space="preserve">4170073054                    </v>
      </c>
      <c r="Q1582">
        <v>0</v>
      </c>
      <c r="R1582">
        <v>0</v>
      </c>
      <c r="S1582">
        <v>0</v>
      </c>
      <c r="T1582">
        <v>0</v>
      </c>
      <c r="U1582">
        <v>0</v>
      </c>
      <c r="V1582">
        <v>0</v>
      </c>
      <c r="W1582">
        <v>0</v>
      </c>
      <c r="X1582">
        <v>0</v>
      </c>
      <c r="Y1582">
        <v>0</v>
      </c>
      <c r="Z1582">
        <v>0</v>
      </c>
      <c r="AA1582">
        <v>0</v>
      </c>
      <c r="AB1582">
        <v>0</v>
      </c>
      <c r="AC1582">
        <v>0</v>
      </c>
      <c r="AD1582">
        <v>0</v>
      </c>
      <c r="AE1582">
        <v>0</v>
      </c>
      <c r="AF1582">
        <v>0</v>
      </c>
      <c r="AG1582">
        <v>0</v>
      </c>
      <c r="AH1582">
        <v>0</v>
      </c>
      <c r="AI1582">
        <v>0</v>
      </c>
      <c r="AJ1582">
        <v>0</v>
      </c>
      <c r="AK1582">
        <v>0</v>
      </c>
      <c r="AL1582">
        <v>0</v>
      </c>
      <c r="AM1582">
        <v>0</v>
      </c>
      <c r="AN1582">
        <v>0</v>
      </c>
      <c r="AO1582">
        <v>0</v>
      </c>
      <c r="AP1582">
        <v>0</v>
      </c>
      <c r="AQ1582">
        <v>25.52</v>
      </c>
      <c r="AR1582">
        <v>0</v>
      </c>
      <c r="AS1582">
        <v>0</v>
      </c>
      <c r="AT1582">
        <v>0</v>
      </c>
      <c r="AU1582">
        <v>0</v>
      </c>
      <c r="AV1582">
        <v>0</v>
      </c>
      <c r="AW1582">
        <v>0</v>
      </c>
      <c r="AX1582">
        <v>0</v>
      </c>
      <c r="AY1582">
        <v>0</v>
      </c>
      <c r="AZ1582">
        <v>0</v>
      </c>
      <c r="BA1582">
        <v>0</v>
      </c>
      <c r="BB1582">
        <v>0</v>
      </c>
      <c r="BC1582">
        <v>0</v>
      </c>
      <c r="BD1582">
        <v>0</v>
      </c>
      <c r="BE1582">
        <v>0</v>
      </c>
      <c r="BF1582">
        <v>0</v>
      </c>
      <c r="BG1582">
        <v>0</v>
      </c>
      <c r="BH1582">
        <v>1</v>
      </c>
      <c r="BI1582">
        <v>1</v>
      </c>
      <c r="BJ1582">
        <v>0.2</v>
      </c>
      <c r="BK1582">
        <v>1</v>
      </c>
      <c r="BL1582">
        <v>76.06</v>
      </c>
      <c r="BM1582">
        <v>11.41</v>
      </c>
      <c r="BN1582">
        <v>87.47</v>
      </c>
      <c r="BO1582">
        <v>87.47</v>
      </c>
      <c r="BQ1582" t="s">
        <v>97</v>
      </c>
      <c r="BR1582" t="s">
        <v>82</v>
      </c>
      <c r="BS1582" t="s">
        <v>500</v>
      </c>
      <c r="BY1582">
        <v>1200</v>
      </c>
      <c r="CC1582" t="s">
        <v>95</v>
      </c>
      <c r="CD1582">
        <v>3610</v>
      </c>
      <c r="CE1582" t="s">
        <v>134</v>
      </c>
      <c r="CI1582">
        <v>1</v>
      </c>
      <c r="CJ1582" t="s">
        <v>500</v>
      </c>
      <c r="CK1582">
        <v>21</v>
      </c>
      <c r="CL1582" t="s">
        <v>87</v>
      </c>
    </row>
    <row r="1583" spans="1:90" x14ac:dyDescent="0.3">
      <c r="A1583" t="s">
        <v>72</v>
      </c>
      <c r="B1583" t="s">
        <v>73</v>
      </c>
      <c r="C1583" t="s">
        <v>74</v>
      </c>
      <c r="E1583" t="str">
        <f>"080069845781"</f>
        <v>080069845781</v>
      </c>
      <c r="F1583" s="3">
        <v>46002</v>
      </c>
      <c r="G1583">
        <v>202609</v>
      </c>
      <c r="H1583" t="s">
        <v>75</v>
      </c>
      <c r="I1583" t="s">
        <v>76</v>
      </c>
      <c r="J1583" t="s">
        <v>77</v>
      </c>
      <c r="K1583" t="s">
        <v>78</v>
      </c>
      <c r="L1583" t="s">
        <v>94</v>
      </c>
      <c r="M1583" t="s">
        <v>95</v>
      </c>
      <c r="N1583" t="s">
        <v>96</v>
      </c>
      <c r="O1583" t="s">
        <v>89</v>
      </c>
      <c r="P1583" t="str">
        <f>"4170073047                    "</f>
        <v xml:space="preserve">4170073047                    </v>
      </c>
      <c r="Q1583">
        <v>0</v>
      </c>
      <c r="R1583">
        <v>0</v>
      </c>
      <c r="S1583">
        <v>0</v>
      </c>
      <c r="T1583">
        <v>0</v>
      </c>
      <c r="U1583">
        <v>0</v>
      </c>
      <c r="V1583">
        <v>0</v>
      </c>
      <c r="W1583">
        <v>0</v>
      </c>
      <c r="X1583">
        <v>0</v>
      </c>
      <c r="Y1583">
        <v>0</v>
      </c>
      <c r="Z1583">
        <v>0</v>
      </c>
      <c r="AA1583">
        <v>0</v>
      </c>
      <c r="AB1583">
        <v>0</v>
      </c>
      <c r="AC1583">
        <v>0</v>
      </c>
      <c r="AD1583">
        <v>0</v>
      </c>
      <c r="AE1583">
        <v>0</v>
      </c>
      <c r="AF1583">
        <v>0</v>
      </c>
      <c r="AG1583">
        <v>0</v>
      </c>
      <c r="AH1583">
        <v>0</v>
      </c>
      <c r="AI1583">
        <v>0</v>
      </c>
      <c r="AJ1583">
        <v>0</v>
      </c>
      <c r="AK1583">
        <v>0</v>
      </c>
      <c r="AL1583">
        <v>0</v>
      </c>
      <c r="AM1583">
        <v>0</v>
      </c>
      <c r="AN1583">
        <v>0</v>
      </c>
      <c r="AO1583">
        <v>0</v>
      </c>
      <c r="AP1583">
        <v>0</v>
      </c>
      <c r="AQ1583">
        <v>25.52</v>
      </c>
      <c r="AR1583">
        <v>0</v>
      </c>
      <c r="AS1583">
        <v>0</v>
      </c>
      <c r="AT1583">
        <v>0</v>
      </c>
      <c r="AU1583">
        <v>0</v>
      </c>
      <c r="AV1583">
        <v>0</v>
      </c>
      <c r="AW1583">
        <v>0</v>
      </c>
      <c r="AX1583">
        <v>0</v>
      </c>
      <c r="AY1583">
        <v>0</v>
      </c>
      <c r="AZ1583">
        <v>0</v>
      </c>
      <c r="BA1583">
        <v>0</v>
      </c>
      <c r="BB1583">
        <v>0</v>
      </c>
      <c r="BC1583">
        <v>0</v>
      </c>
      <c r="BD1583">
        <v>0</v>
      </c>
      <c r="BE1583">
        <v>0</v>
      </c>
      <c r="BF1583">
        <v>0</v>
      </c>
      <c r="BG1583">
        <v>0</v>
      </c>
      <c r="BH1583">
        <v>1</v>
      </c>
      <c r="BI1583">
        <v>1</v>
      </c>
      <c r="BJ1583">
        <v>0.2</v>
      </c>
      <c r="BK1583">
        <v>1</v>
      </c>
      <c r="BL1583">
        <v>76.06</v>
      </c>
      <c r="BM1583">
        <v>11.41</v>
      </c>
      <c r="BN1583">
        <v>87.47</v>
      </c>
      <c r="BO1583">
        <v>87.47</v>
      </c>
      <c r="BQ1583" t="s">
        <v>97</v>
      </c>
      <c r="BR1583" t="s">
        <v>82</v>
      </c>
      <c r="BS1583" t="s">
        <v>500</v>
      </c>
      <c r="BY1583">
        <v>1200</v>
      </c>
      <c r="CC1583" t="s">
        <v>95</v>
      </c>
      <c r="CD1583">
        <v>3610</v>
      </c>
      <c r="CE1583" t="s">
        <v>134</v>
      </c>
      <c r="CI1583">
        <v>1</v>
      </c>
      <c r="CJ1583" t="s">
        <v>500</v>
      </c>
      <c r="CK1583">
        <v>21</v>
      </c>
      <c r="CL1583" t="s">
        <v>87</v>
      </c>
    </row>
    <row r="1584" spans="1:90" x14ac:dyDescent="0.3">
      <c r="A1584" t="s">
        <v>72</v>
      </c>
      <c r="B1584" t="s">
        <v>73</v>
      </c>
      <c r="C1584" t="s">
        <v>74</v>
      </c>
      <c r="E1584" t="str">
        <f>"080069847972"</f>
        <v>080069847972</v>
      </c>
      <c r="F1584" s="3">
        <v>46002</v>
      </c>
      <c r="G1584">
        <v>202609</v>
      </c>
      <c r="H1584" t="s">
        <v>75</v>
      </c>
      <c r="I1584" t="s">
        <v>76</v>
      </c>
      <c r="J1584" t="s">
        <v>77</v>
      </c>
      <c r="K1584" t="s">
        <v>78</v>
      </c>
      <c r="L1584" t="s">
        <v>265</v>
      </c>
      <c r="M1584" t="s">
        <v>266</v>
      </c>
      <c r="N1584" t="s">
        <v>1787</v>
      </c>
      <c r="O1584" t="s">
        <v>89</v>
      </c>
      <c r="P1584" t="str">
        <f>"4170073052                    "</f>
        <v xml:space="preserve">4170073052                    </v>
      </c>
      <c r="Q1584">
        <v>0</v>
      </c>
      <c r="R1584">
        <v>0</v>
      </c>
      <c r="S1584">
        <v>0</v>
      </c>
      <c r="T1584">
        <v>0</v>
      </c>
      <c r="U1584">
        <v>0</v>
      </c>
      <c r="V1584">
        <v>0</v>
      </c>
      <c r="W1584">
        <v>0</v>
      </c>
      <c r="X1584">
        <v>0</v>
      </c>
      <c r="Y1584">
        <v>0</v>
      </c>
      <c r="Z1584">
        <v>0</v>
      </c>
      <c r="AA1584">
        <v>0</v>
      </c>
      <c r="AB1584">
        <v>0</v>
      </c>
      <c r="AC1584">
        <v>0</v>
      </c>
      <c r="AD1584">
        <v>0</v>
      </c>
      <c r="AE1584">
        <v>0</v>
      </c>
      <c r="AF1584">
        <v>0</v>
      </c>
      <c r="AG1584">
        <v>0</v>
      </c>
      <c r="AH1584">
        <v>0</v>
      </c>
      <c r="AI1584">
        <v>0</v>
      </c>
      <c r="AJ1584">
        <v>0</v>
      </c>
      <c r="AK1584">
        <v>0</v>
      </c>
      <c r="AL1584">
        <v>0</v>
      </c>
      <c r="AM1584">
        <v>0</v>
      </c>
      <c r="AN1584">
        <v>0</v>
      </c>
      <c r="AO1584">
        <v>0</v>
      </c>
      <c r="AP1584">
        <v>0</v>
      </c>
      <c r="AQ1584">
        <v>19.940000000000001</v>
      </c>
      <c r="AR1584">
        <v>0</v>
      </c>
      <c r="AS1584">
        <v>0</v>
      </c>
      <c r="AT1584">
        <v>0</v>
      </c>
      <c r="AU1584">
        <v>0</v>
      </c>
      <c r="AV1584">
        <v>0</v>
      </c>
      <c r="AW1584">
        <v>0</v>
      </c>
      <c r="AX1584">
        <v>0</v>
      </c>
      <c r="AY1584">
        <v>0</v>
      </c>
      <c r="AZ1584">
        <v>0</v>
      </c>
      <c r="BA1584">
        <v>0</v>
      </c>
      <c r="BB1584">
        <v>0</v>
      </c>
      <c r="BC1584">
        <v>0</v>
      </c>
      <c r="BD1584">
        <v>0</v>
      </c>
      <c r="BE1584">
        <v>0</v>
      </c>
      <c r="BF1584">
        <v>0</v>
      </c>
      <c r="BG1584">
        <v>0</v>
      </c>
      <c r="BH1584">
        <v>1</v>
      </c>
      <c r="BI1584">
        <v>1</v>
      </c>
      <c r="BJ1584">
        <v>0.2</v>
      </c>
      <c r="BK1584">
        <v>1</v>
      </c>
      <c r="BL1584">
        <v>59.42</v>
      </c>
      <c r="BM1584">
        <v>8.91</v>
      </c>
      <c r="BN1584">
        <v>68.33</v>
      </c>
      <c r="BO1584">
        <v>68.33</v>
      </c>
      <c r="BQ1584" t="s">
        <v>1788</v>
      </c>
      <c r="BR1584" t="s">
        <v>82</v>
      </c>
      <c r="BS1584" s="3">
        <v>46003</v>
      </c>
      <c r="BT1584" s="4">
        <v>0.31805555555555554</v>
      </c>
      <c r="BU1584" t="s">
        <v>2192</v>
      </c>
      <c r="BV1584" t="s">
        <v>84</v>
      </c>
      <c r="BY1584">
        <v>1200</v>
      </c>
      <c r="CA1584" t="s">
        <v>417</v>
      </c>
      <c r="CC1584" t="s">
        <v>266</v>
      </c>
      <c r="CD1584">
        <v>1459</v>
      </c>
      <c r="CE1584" t="s">
        <v>134</v>
      </c>
      <c r="CI1584">
        <v>1</v>
      </c>
      <c r="CJ1584">
        <v>1</v>
      </c>
      <c r="CK1584">
        <v>22</v>
      </c>
      <c r="CL1584" t="s">
        <v>87</v>
      </c>
    </row>
    <row r="1585" spans="1:90" x14ac:dyDescent="0.3">
      <c r="A1585" t="s">
        <v>72</v>
      </c>
      <c r="B1585" t="s">
        <v>73</v>
      </c>
      <c r="C1585" t="s">
        <v>74</v>
      </c>
      <c r="E1585" t="str">
        <f>"080069848520"</f>
        <v>080069848520</v>
      </c>
      <c r="F1585" s="3">
        <v>46002</v>
      </c>
      <c r="G1585">
        <v>202609</v>
      </c>
      <c r="H1585" t="s">
        <v>75</v>
      </c>
      <c r="I1585" t="s">
        <v>76</v>
      </c>
      <c r="J1585" t="s">
        <v>77</v>
      </c>
      <c r="K1585" t="s">
        <v>78</v>
      </c>
      <c r="L1585" t="s">
        <v>698</v>
      </c>
      <c r="M1585" t="s">
        <v>698</v>
      </c>
      <c r="N1585" t="s">
        <v>543</v>
      </c>
      <c r="O1585" t="s">
        <v>89</v>
      </c>
      <c r="P1585" t="str">
        <f>"4170073072                    "</f>
        <v xml:space="preserve">4170073072                    </v>
      </c>
      <c r="Q1585">
        <v>0</v>
      </c>
      <c r="R1585">
        <v>0</v>
      </c>
      <c r="S1585">
        <v>0</v>
      </c>
      <c r="T1585">
        <v>0</v>
      </c>
      <c r="U1585">
        <v>0</v>
      </c>
      <c r="V1585">
        <v>0</v>
      </c>
      <c r="W1585">
        <v>0</v>
      </c>
      <c r="X1585">
        <v>0</v>
      </c>
      <c r="Y1585">
        <v>0</v>
      </c>
      <c r="Z1585">
        <v>0</v>
      </c>
      <c r="AA1585">
        <v>0</v>
      </c>
      <c r="AB1585">
        <v>0</v>
      </c>
      <c r="AC1585">
        <v>0</v>
      </c>
      <c r="AD1585">
        <v>0</v>
      </c>
      <c r="AE1585">
        <v>0</v>
      </c>
      <c r="AF1585">
        <v>0</v>
      </c>
      <c r="AG1585">
        <v>0</v>
      </c>
      <c r="AH1585">
        <v>0</v>
      </c>
      <c r="AI1585">
        <v>0</v>
      </c>
      <c r="AJ1585">
        <v>0</v>
      </c>
      <c r="AK1585">
        <v>0</v>
      </c>
      <c r="AL1585">
        <v>0</v>
      </c>
      <c r="AM1585">
        <v>0</v>
      </c>
      <c r="AN1585">
        <v>0</v>
      </c>
      <c r="AO1585">
        <v>0</v>
      </c>
      <c r="AP1585">
        <v>0</v>
      </c>
      <c r="AQ1585">
        <v>35.9</v>
      </c>
      <c r="AR1585">
        <v>0</v>
      </c>
      <c r="AS1585">
        <v>0</v>
      </c>
      <c r="AT1585">
        <v>0</v>
      </c>
      <c r="AU1585">
        <v>0</v>
      </c>
      <c r="AV1585">
        <v>0</v>
      </c>
      <c r="AW1585">
        <v>0</v>
      </c>
      <c r="AX1585">
        <v>0</v>
      </c>
      <c r="AY1585">
        <v>0</v>
      </c>
      <c r="AZ1585">
        <v>0</v>
      </c>
      <c r="BA1585">
        <v>0</v>
      </c>
      <c r="BB1585">
        <v>0</v>
      </c>
      <c r="BC1585">
        <v>0</v>
      </c>
      <c r="BD1585">
        <v>0</v>
      </c>
      <c r="BE1585">
        <v>0</v>
      </c>
      <c r="BF1585">
        <v>0</v>
      </c>
      <c r="BG1585">
        <v>0</v>
      </c>
      <c r="BH1585">
        <v>1</v>
      </c>
      <c r="BI1585">
        <v>1</v>
      </c>
      <c r="BJ1585">
        <v>0.2</v>
      </c>
      <c r="BK1585">
        <v>1</v>
      </c>
      <c r="BL1585">
        <v>106.98</v>
      </c>
      <c r="BM1585">
        <v>16.05</v>
      </c>
      <c r="BN1585">
        <v>123.03</v>
      </c>
      <c r="BO1585">
        <v>123.03</v>
      </c>
      <c r="BQ1585" t="s">
        <v>544</v>
      </c>
      <c r="BR1585" t="s">
        <v>82</v>
      </c>
      <c r="BS1585" t="s">
        <v>500</v>
      </c>
      <c r="BV1585" t="s">
        <v>87</v>
      </c>
      <c r="BY1585">
        <v>1200</v>
      </c>
      <c r="CC1585" t="s">
        <v>698</v>
      </c>
      <c r="CD1585">
        <v>1491</v>
      </c>
      <c r="CE1585" t="s">
        <v>134</v>
      </c>
      <c r="CI1585">
        <v>1</v>
      </c>
      <c r="CJ1585" t="s">
        <v>500</v>
      </c>
      <c r="CK1585">
        <v>24</v>
      </c>
      <c r="CL1585" t="s">
        <v>87</v>
      </c>
    </row>
    <row r="1586" spans="1:90" x14ac:dyDescent="0.3">
      <c r="A1586" t="s">
        <v>72</v>
      </c>
      <c r="B1586" t="s">
        <v>73</v>
      </c>
      <c r="C1586" t="s">
        <v>74</v>
      </c>
      <c r="E1586" t="str">
        <f>"080069848552"</f>
        <v>080069848552</v>
      </c>
      <c r="F1586" s="3">
        <v>46002</v>
      </c>
      <c r="G1586">
        <v>202609</v>
      </c>
      <c r="H1586" t="s">
        <v>75</v>
      </c>
      <c r="I1586" t="s">
        <v>76</v>
      </c>
      <c r="J1586" t="s">
        <v>77</v>
      </c>
      <c r="K1586" t="s">
        <v>78</v>
      </c>
      <c r="L1586" t="s">
        <v>612</v>
      </c>
      <c r="M1586" t="s">
        <v>613</v>
      </c>
      <c r="N1586" t="s">
        <v>614</v>
      </c>
      <c r="O1586" t="s">
        <v>89</v>
      </c>
      <c r="P1586" t="str">
        <f>"4170073113                    "</f>
        <v xml:space="preserve">4170073113                    </v>
      </c>
      <c r="Q1586">
        <v>0</v>
      </c>
      <c r="R1586">
        <v>0</v>
      </c>
      <c r="S1586">
        <v>0</v>
      </c>
      <c r="T1586">
        <v>0</v>
      </c>
      <c r="U1586">
        <v>0</v>
      </c>
      <c r="V1586">
        <v>0</v>
      </c>
      <c r="W1586">
        <v>0</v>
      </c>
      <c r="X1586">
        <v>0</v>
      </c>
      <c r="Y1586">
        <v>0</v>
      </c>
      <c r="Z1586">
        <v>0</v>
      </c>
      <c r="AA1586">
        <v>0</v>
      </c>
      <c r="AB1586">
        <v>0</v>
      </c>
      <c r="AC1586">
        <v>0</v>
      </c>
      <c r="AD1586">
        <v>0</v>
      </c>
      <c r="AE1586">
        <v>0</v>
      </c>
      <c r="AF1586">
        <v>0</v>
      </c>
      <c r="AG1586">
        <v>0</v>
      </c>
      <c r="AH1586">
        <v>0</v>
      </c>
      <c r="AI1586">
        <v>0</v>
      </c>
      <c r="AJ1586">
        <v>0</v>
      </c>
      <c r="AK1586">
        <v>0</v>
      </c>
      <c r="AL1586">
        <v>0</v>
      </c>
      <c r="AM1586">
        <v>0</v>
      </c>
      <c r="AN1586">
        <v>0</v>
      </c>
      <c r="AO1586">
        <v>0</v>
      </c>
      <c r="AP1586">
        <v>0</v>
      </c>
      <c r="AQ1586">
        <v>49.45</v>
      </c>
      <c r="AR1586">
        <v>0</v>
      </c>
      <c r="AS1586">
        <v>0</v>
      </c>
      <c r="AT1586">
        <v>0</v>
      </c>
      <c r="AU1586">
        <v>0</v>
      </c>
      <c r="AV1586">
        <v>0</v>
      </c>
      <c r="AW1586">
        <v>0</v>
      </c>
      <c r="AX1586">
        <v>0</v>
      </c>
      <c r="AY1586">
        <v>0</v>
      </c>
      <c r="AZ1586">
        <v>0</v>
      </c>
      <c r="BA1586">
        <v>0</v>
      </c>
      <c r="BB1586">
        <v>0</v>
      </c>
      <c r="BC1586">
        <v>0</v>
      </c>
      <c r="BD1586">
        <v>0</v>
      </c>
      <c r="BE1586">
        <v>0</v>
      </c>
      <c r="BF1586">
        <v>0</v>
      </c>
      <c r="BG1586">
        <v>0</v>
      </c>
      <c r="BH1586">
        <v>1</v>
      </c>
      <c r="BI1586">
        <v>1</v>
      </c>
      <c r="BJ1586">
        <v>0.2</v>
      </c>
      <c r="BK1586">
        <v>1</v>
      </c>
      <c r="BL1586">
        <v>147.38</v>
      </c>
      <c r="BM1586">
        <v>22.11</v>
      </c>
      <c r="BN1586">
        <v>169.49</v>
      </c>
      <c r="BO1586">
        <v>169.49</v>
      </c>
      <c r="BQ1586" t="s">
        <v>615</v>
      </c>
      <c r="BR1586" t="s">
        <v>82</v>
      </c>
      <c r="BS1586" t="s">
        <v>500</v>
      </c>
      <c r="BV1586" t="s">
        <v>87</v>
      </c>
      <c r="BY1586">
        <v>1200</v>
      </c>
      <c r="CC1586" t="s">
        <v>613</v>
      </c>
      <c r="CD1586">
        <v>6850</v>
      </c>
      <c r="CE1586" t="s">
        <v>134</v>
      </c>
      <c r="CI1586">
        <v>2</v>
      </c>
      <c r="CJ1586" t="s">
        <v>500</v>
      </c>
      <c r="CK1586">
        <v>23</v>
      </c>
      <c r="CL1586" t="s">
        <v>87</v>
      </c>
    </row>
    <row r="1587" spans="1:90" x14ac:dyDescent="0.3">
      <c r="A1587" t="s">
        <v>72</v>
      </c>
      <c r="B1587" t="s">
        <v>73</v>
      </c>
      <c r="C1587" t="s">
        <v>74</v>
      </c>
      <c r="E1587" t="str">
        <f>"080069848697"</f>
        <v>080069848697</v>
      </c>
      <c r="F1587" s="3">
        <v>46002</v>
      </c>
      <c r="G1587">
        <v>202609</v>
      </c>
      <c r="H1587" t="s">
        <v>75</v>
      </c>
      <c r="I1587" t="s">
        <v>76</v>
      </c>
      <c r="J1587" t="s">
        <v>77</v>
      </c>
      <c r="K1587" t="s">
        <v>78</v>
      </c>
      <c r="L1587" t="s">
        <v>283</v>
      </c>
      <c r="M1587" t="s">
        <v>284</v>
      </c>
      <c r="N1587" t="s">
        <v>1666</v>
      </c>
      <c r="O1587" t="s">
        <v>80</v>
      </c>
      <c r="P1587" t="str">
        <f>"4170072926                    "</f>
        <v xml:space="preserve">4170072926                    </v>
      </c>
      <c r="Q1587">
        <v>0</v>
      </c>
      <c r="R1587">
        <v>0</v>
      </c>
      <c r="S1587">
        <v>0</v>
      </c>
      <c r="T1587">
        <v>0</v>
      </c>
      <c r="U1587">
        <v>0</v>
      </c>
      <c r="V1587">
        <v>0</v>
      </c>
      <c r="W1587">
        <v>0</v>
      </c>
      <c r="X1587">
        <v>0</v>
      </c>
      <c r="Y1587">
        <v>0</v>
      </c>
      <c r="Z1587">
        <v>0</v>
      </c>
      <c r="AA1587">
        <v>0</v>
      </c>
      <c r="AB1587">
        <v>0</v>
      </c>
      <c r="AC1587">
        <v>0</v>
      </c>
      <c r="AD1587">
        <v>0</v>
      </c>
      <c r="AE1587">
        <v>0</v>
      </c>
      <c r="AF1587">
        <v>0</v>
      </c>
      <c r="AG1587">
        <v>0</v>
      </c>
      <c r="AH1587">
        <v>0</v>
      </c>
      <c r="AI1587">
        <v>0</v>
      </c>
      <c r="AJ1587">
        <v>0</v>
      </c>
      <c r="AK1587">
        <v>0</v>
      </c>
      <c r="AL1587">
        <v>0</v>
      </c>
      <c r="AM1587">
        <v>0</v>
      </c>
      <c r="AN1587">
        <v>0</v>
      </c>
      <c r="AO1587">
        <v>0</v>
      </c>
      <c r="AP1587">
        <v>0</v>
      </c>
      <c r="AQ1587">
        <v>1409.92</v>
      </c>
      <c r="AR1587">
        <v>0</v>
      </c>
      <c r="AS1587">
        <v>0</v>
      </c>
      <c r="AT1587">
        <v>0</v>
      </c>
      <c r="AU1587">
        <v>0</v>
      </c>
      <c r="AV1587">
        <v>0</v>
      </c>
      <c r="AW1587">
        <v>0</v>
      </c>
      <c r="AX1587">
        <v>0</v>
      </c>
      <c r="AY1587">
        <v>0</v>
      </c>
      <c r="AZ1587">
        <v>0</v>
      </c>
      <c r="BA1587">
        <v>0</v>
      </c>
      <c r="BB1587">
        <v>0</v>
      </c>
      <c r="BC1587">
        <v>0</v>
      </c>
      <c r="BD1587">
        <v>0</v>
      </c>
      <c r="BE1587">
        <v>0</v>
      </c>
      <c r="BF1587">
        <v>0</v>
      </c>
      <c r="BG1587">
        <v>0</v>
      </c>
      <c r="BH1587">
        <v>1</v>
      </c>
      <c r="BI1587">
        <v>392</v>
      </c>
      <c r="BJ1587">
        <v>203.8</v>
      </c>
      <c r="BK1587">
        <v>392</v>
      </c>
      <c r="BL1587">
        <v>4207.95</v>
      </c>
      <c r="BM1587">
        <v>631.19000000000005</v>
      </c>
      <c r="BN1587">
        <v>4839.1400000000003</v>
      </c>
      <c r="BO1587">
        <v>4839.1400000000003</v>
      </c>
      <c r="BQ1587" t="s">
        <v>1667</v>
      </c>
      <c r="BR1587" t="s">
        <v>82</v>
      </c>
      <c r="BS1587" t="s">
        <v>500</v>
      </c>
      <c r="BV1587" t="s">
        <v>87</v>
      </c>
      <c r="BY1587">
        <v>1019060</v>
      </c>
      <c r="CC1587" t="s">
        <v>284</v>
      </c>
      <c r="CD1587">
        <v>1947</v>
      </c>
      <c r="CE1587" t="s">
        <v>567</v>
      </c>
      <c r="CI1587">
        <v>1</v>
      </c>
      <c r="CJ1587" t="s">
        <v>500</v>
      </c>
      <c r="CK1587">
        <v>43</v>
      </c>
      <c r="CL1587" t="s">
        <v>87</v>
      </c>
    </row>
    <row r="1588" spans="1:90" x14ac:dyDescent="0.3">
      <c r="A1588" t="s">
        <v>72</v>
      </c>
      <c r="B1588" t="s">
        <v>73</v>
      </c>
      <c r="C1588" t="s">
        <v>74</v>
      </c>
      <c r="E1588" t="str">
        <f>"080069848730"</f>
        <v>080069848730</v>
      </c>
      <c r="F1588" s="3">
        <v>46002</v>
      </c>
      <c r="G1588">
        <v>202609</v>
      </c>
      <c r="H1588" t="s">
        <v>75</v>
      </c>
      <c r="I1588" t="s">
        <v>76</v>
      </c>
      <c r="J1588" t="s">
        <v>77</v>
      </c>
      <c r="K1588" t="s">
        <v>78</v>
      </c>
      <c r="L1588" t="s">
        <v>265</v>
      </c>
      <c r="M1588" t="s">
        <v>266</v>
      </c>
      <c r="N1588" t="s">
        <v>320</v>
      </c>
      <c r="O1588" t="s">
        <v>89</v>
      </c>
      <c r="P1588" t="str">
        <f>"4170072994                    "</f>
        <v xml:space="preserve">4170072994                    </v>
      </c>
      <c r="Q1588">
        <v>0</v>
      </c>
      <c r="R1588">
        <v>0</v>
      </c>
      <c r="S1588">
        <v>0</v>
      </c>
      <c r="T1588">
        <v>0</v>
      </c>
      <c r="U1588">
        <v>0</v>
      </c>
      <c r="V1588">
        <v>0</v>
      </c>
      <c r="W1588">
        <v>0</v>
      </c>
      <c r="X1588">
        <v>0</v>
      </c>
      <c r="Y1588">
        <v>0</v>
      </c>
      <c r="Z1588">
        <v>0</v>
      </c>
      <c r="AA1588">
        <v>0</v>
      </c>
      <c r="AB1588">
        <v>0</v>
      </c>
      <c r="AC1588">
        <v>0</v>
      </c>
      <c r="AD1588">
        <v>0</v>
      </c>
      <c r="AE1588">
        <v>0</v>
      </c>
      <c r="AF1588">
        <v>0</v>
      </c>
      <c r="AG1588">
        <v>0</v>
      </c>
      <c r="AH1588">
        <v>0</v>
      </c>
      <c r="AI1588">
        <v>0</v>
      </c>
      <c r="AJ1588">
        <v>0</v>
      </c>
      <c r="AK1588">
        <v>0</v>
      </c>
      <c r="AL1588">
        <v>0</v>
      </c>
      <c r="AM1588">
        <v>0</v>
      </c>
      <c r="AN1588">
        <v>0</v>
      </c>
      <c r="AO1588">
        <v>0</v>
      </c>
      <c r="AP1588">
        <v>0</v>
      </c>
      <c r="AQ1588">
        <v>19.940000000000001</v>
      </c>
      <c r="AR1588">
        <v>0</v>
      </c>
      <c r="AS1588">
        <v>0</v>
      </c>
      <c r="AT1588">
        <v>0</v>
      </c>
      <c r="AU1588">
        <v>0</v>
      </c>
      <c r="AV1588">
        <v>0</v>
      </c>
      <c r="AW1588">
        <v>0</v>
      </c>
      <c r="AX1588">
        <v>0</v>
      </c>
      <c r="AY1588">
        <v>0</v>
      </c>
      <c r="AZ1588">
        <v>0</v>
      </c>
      <c r="BA1588">
        <v>0</v>
      </c>
      <c r="BB1588">
        <v>0</v>
      </c>
      <c r="BC1588">
        <v>0</v>
      </c>
      <c r="BD1588">
        <v>0</v>
      </c>
      <c r="BE1588">
        <v>0</v>
      </c>
      <c r="BF1588">
        <v>0</v>
      </c>
      <c r="BG1588">
        <v>0</v>
      </c>
      <c r="BH1588">
        <v>1</v>
      </c>
      <c r="BI1588">
        <v>2</v>
      </c>
      <c r="BJ1588">
        <v>0.9</v>
      </c>
      <c r="BK1588">
        <v>2</v>
      </c>
      <c r="BL1588">
        <v>59.42</v>
      </c>
      <c r="BM1588">
        <v>8.91</v>
      </c>
      <c r="BN1588">
        <v>68.33</v>
      </c>
      <c r="BO1588">
        <v>68.33</v>
      </c>
      <c r="BQ1588" t="s">
        <v>321</v>
      </c>
      <c r="BR1588" t="s">
        <v>82</v>
      </c>
      <c r="BS1588" t="s">
        <v>500</v>
      </c>
      <c r="BV1588" t="s">
        <v>87</v>
      </c>
      <c r="BY1588">
        <v>4560</v>
      </c>
      <c r="CC1588" t="s">
        <v>266</v>
      </c>
      <c r="CD1588">
        <v>1459</v>
      </c>
      <c r="CE1588" t="s">
        <v>86</v>
      </c>
      <c r="CI1588">
        <v>1</v>
      </c>
      <c r="CJ1588" t="s">
        <v>500</v>
      </c>
      <c r="CK1588">
        <v>22</v>
      </c>
      <c r="CL1588" t="s">
        <v>87</v>
      </c>
    </row>
    <row r="1589" spans="1:90" x14ac:dyDescent="0.3">
      <c r="A1589" t="s">
        <v>72</v>
      </c>
      <c r="B1589" t="s">
        <v>73</v>
      </c>
      <c r="C1589" t="s">
        <v>74</v>
      </c>
      <c r="E1589" t="str">
        <f>"080069848809"</f>
        <v>080069848809</v>
      </c>
      <c r="F1589" s="3">
        <v>46002</v>
      </c>
      <c r="G1589">
        <v>202609</v>
      </c>
      <c r="H1589" t="s">
        <v>75</v>
      </c>
      <c r="I1589" t="s">
        <v>76</v>
      </c>
      <c r="J1589" t="s">
        <v>77</v>
      </c>
      <c r="K1589" t="s">
        <v>78</v>
      </c>
      <c r="L1589" t="s">
        <v>781</v>
      </c>
      <c r="M1589" t="s">
        <v>782</v>
      </c>
      <c r="N1589" t="s">
        <v>887</v>
      </c>
      <c r="O1589" t="s">
        <v>89</v>
      </c>
      <c r="P1589" t="str">
        <f>"4170072981                    "</f>
        <v xml:space="preserve">4170072981                    </v>
      </c>
      <c r="Q1589">
        <v>0</v>
      </c>
      <c r="R1589">
        <v>0</v>
      </c>
      <c r="S1589">
        <v>0</v>
      </c>
      <c r="T1589">
        <v>0</v>
      </c>
      <c r="U1589">
        <v>0</v>
      </c>
      <c r="V1589">
        <v>0</v>
      </c>
      <c r="W1589">
        <v>0</v>
      </c>
      <c r="X1589">
        <v>0</v>
      </c>
      <c r="Y1589">
        <v>0</v>
      </c>
      <c r="Z1589">
        <v>0</v>
      </c>
      <c r="AA1589">
        <v>0</v>
      </c>
      <c r="AB1589">
        <v>0</v>
      </c>
      <c r="AC1589">
        <v>0</v>
      </c>
      <c r="AD1589">
        <v>0</v>
      </c>
      <c r="AE1589">
        <v>0</v>
      </c>
      <c r="AF1589">
        <v>0</v>
      </c>
      <c r="AG1589">
        <v>0</v>
      </c>
      <c r="AH1589">
        <v>0</v>
      </c>
      <c r="AI1589">
        <v>0</v>
      </c>
      <c r="AJ1589">
        <v>0</v>
      </c>
      <c r="AK1589">
        <v>0</v>
      </c>
      <c r="AL1589">
        <v>0</v>
      </c>
      <c r="AM1589">
        <v>0</v>
      </c>
      <c r="AN1589">
        <v>0</v>
      </c>
      <c r="AO1589">
        <v>0</v>
      </c>
      <c r="AP1589">
        <v>0</v>
      </c>
      <c r="AQ1589">
        <v>38.28</v>
      </c>
      <c r="AR1589">
        <v>0</v>
      </c>
      <c r="AS1589">
        <v>0</v>
      </c>
      <c r="AT1589">
        <v>0</v>
      </c>
      <c r="AU1589">
        <v>0</v>
      </c>
      <c r="AV1589">
        <v>0</v>
      </c>
      <c r="AW1589">
        <v>0</v>
      </c>
      <c r="AX1589">
        <v>0</v>
      </c>
      <c r="AY1589">
        <v>0</v>
      </c>
      <c r="AZ1589">
        <v>0</v>
      </c>
      <c r="BA1589">
        <v>0</v>
      </c>
      <c r="BB1589">
        <v>0</v>
      </c>
      <c r="BC1589">
        <v>0</v>
      </c>
      <c r="BD1589">
        <v>0</v>
      </c>
      <c r="BE1589">
        <v>0</v>
      </c>
      <c r="BF1589">
        <v>0</v>
      </c>
      <c r="BG1589">
        <v>0</v>
      </c>
      <c r="BH1589">
        <v>1</v>
      </c>
      <c r="BI1589">
        <v>3</v>
      </c>
      <c r="BJ1589">
        <v>1.1000000000000001</v>
      </c>
      <c r="BK1589">
        <v>3</v>
      </c>
      <c r="BL1589">
        <v>114.08</v>
      </c>
      <c r="BM1589">
        <v>17.11</v>
      </c>
      <c r="BN1589">
        <v>131.19</v>
      </c>
      <c r="BO1589">
        <v>131.19</v>
      </c>
      <c r="BQ1589" t="s">
        <v>888</v>
      </c>
      <c r="BR1589" t="s">
        <v>82</v>
      </c>
      <c r="BS1589" t="s">
        <v>500</v>
      </c>
      <c r="BV1589" t="s">
        <v>87</v>
      </c>
      <c r="BY1589">
        <v>5510</v>
      </c>
      <c r="CC1589" t="s">
        <v>782</v>
      </c>
      <c r="CD1589">
        <v>4133</v>
      </c>
      <c r="CE1589" t="s">
        <v>86</v>
      </c>
      <c r="CI1589">
        <v>1</v>
      </c>
      <c r="CJ1589" t="s">
        <v>500</v>
      </c>
      <c r="CK1589">
        <v>21</v>
      </c>
      <c r="CL1589" t="s">
        <v>87</v>
      </c>
    </row>
    <row r="1590" spans="1:90" x14ac:dyDescent="0.3">
      <c r="A1590" t="s">
        <v>72</v>
      </c>
      <c r="B1590" t="s">
        <v>73</v>
      </c>
      <c r="C1590" t="s">
        <v>74</v>
      </c>
      <c r="E1590" t="str">
        <f>"080069848835"</f>
        <v>080069848835</v>
      </c>
      <c r="F1590" s="3">
        <v>46002</v>
      </c>
      <c r="G1590">
        <v>202609</v>
      </c>
      <c r="H1590" t="s">
        <v>75</v>
      </c>
      <c r="I1590" t="s">
        <v>76</v>
      </c>
      <c r="J1590" t="s">
        <v>77</v>
      </c>
      <c r="K1590" t="s">
        <v>78</v>
      </c>
      <c r="L1590" t="s">
        <v>176</v>
      </c>
      <c r="M1590" t="s">
        <v>177</v>
      </c>
      <c r="N1590" t="s">
        <v>1161</v>
      </c>
      <c r="O1590" t="s">
        <v>89</v>
      </c>
      <c r="P1590" t="str">
        <f>"4170073048                    "</f>
        <v xml:space="preserve">4170073048                    </v>
      </c>
      <c r="Q1590">
        <v>0</v>
      </c>
      <c r="R1590">
        <v>0</v>
      </c>
      <c r="S1590">
        <v>0</v>
      </c>
      <c r="T1590">
        <v>0</v>
      </c>
      <c r="U1590">
        <v>0</v>
      </c>
      <c r="V1590">
        <v>0</v>
      </c>
      <c r="W1590">
        <v>0</v>
      </c>
      <c r="X1590">
        <v>0</v>
      </c>
      <c r="Y1590">
        <v>0</v>
      </c>
      <c r="Z1590">
        <v>0</v>
      </c>
      <c r="AA1590">
        <v>0</v>
      </c>
      <c r="AB1590">
        <v>0</v>
      </c>
      <c r="AC1590">
        <v>0</v>
      </c>
      <c r="AD1590">
        <v>0</v>
      </c>
      <c r="AE1590">
        <v>0</v>
      </c>
      <c r="AF1590">
        <v>0</v>
      </c>
      <c r="AG1590">
        <v>0</v>
      </c>
      <c r="AH1590">
        <v>0</v>
      </c>
      <c r="AI1590">
        <v>0</v>
      </c>
      <c r="AJ1590">
        <v>0</v>
      </c>
      <c r="AK1590">
        <v>0</v>
      </c>
      <c r="AL1590">
        <v>0</v>
      </c>
      <c r="AM1590">
        <v>0</v>
      </c>
      <c r="AN1590">
        <v>0</v>
      </c>
      <c r="AO1590">
        <v>0</v>
      </c>
      <c r="AP1590">
        <v>0</v>
      </c>
      <c r="AQ1590">
        <v>19.940000000000001</v>
      </c>
      <c r="AR1590">
        <v>0</v>
      </c>
      <c r="AS1590">
        <v>0</v>
      </c>
      <c r="AT1590">
        <v>0</v>
      </c>
      <c r="AU1590">
        <v>0</v>
      </c>
      <c r="AV1590">
        <v>0</v>
      </c>
      <c r="AW1590">
        <v>0</v>
      </c>
      <c r="AX1590">
        <v>0</v>
      </c>
      <c r="AY1590">
        <v>0</v>
      </c>
      <c r="AZ1590">
        <v>0</v>
      </c>
      <c r="BA1590">
        <v>0</v>
      </c>
      <c r="BB1590">
        <v>0</v>
      </c>
      <c r="BC1590">
        <v>0</v>
      </c>
      <c r="BD1590">
        <v>0</v>
      </c>
      <c r="BE1590">
        <v>0</v>
      </c>
      <c r="BF1590">
        <v>0</v>
      </c>
      <c r="BG1590">
        <v>0</v>
      </c>
      <c r="BH1590">
        <v>1</v>
      </c>
      <c r="BI1590">
        <v>1</v>
      </c>
      <c r="BJ1590">
        <v>0.2</v>
      </c>
      <c r="BK1590">
        <v>1</v>
      </c>
      <c r="BL1590">
        <v>59.42</v>
      </c>
      <c r="BM1590">
        <v>8.91</v>
      </c>
      <c r="BN1590">
        <v>68.33</v>
      </c>
      <c r="BO1590">
        <v>68.33</v>
      </c>
      <c r="BQ1590" t="s">
        <v>1162</v>
      </c>
      <c r="BR1590" t="s">
        <v>82</v>
      </c>
      <c r="BS1590" t="s">
        <v>500</v>
      </c>
      <c r="BV1590" t="s">
        <v>87</v>
      </c>
      <c r="BY1590">
        <v>1200</v>
      </c>
      <c r="CC1590" t="s">
        <v>177</v>
      </c>
      <c r="CD1590">
        <v>2000</v>
      </c>
      <c r="CE1590" t="s">
        <v>134</v>
      </c>
      <c r="CI1590">
        <v>1</v>
      </c>
      <c r="CJ1590" t="s">
        <v>500</v>
      </c>
      <c r="CK1590">
        <v>22</v>
      </c>
      <c r="CL1590" t="s">
        <v>87</v>
      </c>
    </row>
    <row r="1591" spans="1:90" x14ac:dyDescent="0.3">
      <c r="A1591" t="s">
        <v>72</v>
      </c>
      <c r="B1591" t="s">
        <v>73</v>
      </c>
      <c r="C1591" t="s">
        <v>74</v>
      </c>
      <c r="E1591" t="str">
        <f>"080069848868"</f>
        <v>080069848868</v>
      </c>
      <c r="F1591" s="3">
        <v>46002</v>
      </c>
      <c r="G1591">
        <v>202609</v>
      </c>
      <c r="H1591" t="s">
        <v>75</v>
      </c>
      <c r="I1591" t="s">
        <v>76</v>
      </c>
      <c r="J1591" t="s">
        <v>77</v>
      </c>
      <c r="K1591" t="s">
        <v>78</v>
      </c>
      <c r="L1591" t="s">
        <v>100</v>
      </c>
      <c r="M1591" t="s">
        <v>101</v>
      </c>
      <c r="N1591" t="s">
        <v>2184</v>
      </c>
      <c r="O1591" t="s">
        <v>89</v>
      </c>
      <c r="P1591" t="str">
        <f>"4170072990                    "</f>
        <v xml:space="preserve">4170072990                    </v>
      </c>
      <c r="Q1591">
        <v>0</v>
      </c>
      <c r="R1591">
        <v>0</v>
      </c>
      <c r="S1591">
        <v>0</v>
      </c>
      <c r="T1591">
        <v>0</v>
      </c>
      <c r="U1591">
        <v>0</v>
      </c>
      <c r="V1591">
        <v>0</v>
      </c>
      <c r="W1591">
        <v>0</v>
      </c>
      <c r="X1591">
        <v>0</v>
      </c>
      <c r="Y1591">
        <v>0</v>
      </c>
      <c r="Z1591">
        <v>0</v>
      </c>
      <c r="AA1591">
        <v>0</v>
      </c>
      <c r="AB1591">
        <v>0</v>
      </c>
      <c r="AC1591">
        <v>0</v>
      </c>
      <c r="AD1591">
        <v>0</v>
      </c>
      <c r="AE1591">
        <v>0</v>
      </c>
      <c r="AF1591">
        <v>0</v>
      </c>
      <c r="AG1591">
        <v>0</v>
      </c>
      <c r="AH1591">
        <v>0</v>
      </c>
      <c r="AI1591">
        <v>0</v>
      </c>
      <c r="AJ1591">
        <v>0</v>
      </c>
      <c r="AK1591">
        <v>0</v>
      </c>
      <c r="AL1591">
        <v>0</v>
      </c>
      <c r="AM1591">
        <v>0</v>
      </c>
      <c r="AN1591">
        <v>0</v>
      </c>
      <c r="AO1591">
        <v>0</v>
      </c>
      <c r="AP1591">
        <v>0</v>
      </c>
      <c r="AQ1591">
        <v>25.52</v>
      </c>
      <c r="AR1591">
        <v>0</v>
      </c>
      <c r="AS1591">
        <v>0</v>
      </c>
      <c r="AT1591">
        <v>0</v>
      </c>
      <c r="AU1591">
        <v>0</v>
      </c>
      <c r="AV1591">
        <v>0</v>
      </c>
      <c r="AW1591">
        <v>0</v>
      </c>
      <c r="AX1591">
        <v>0</v>
      </c>
      <c r="AY1591">
        <v>0</v>
      </c>
      <c r="AZ1591">
        <v>0</v>
      </c>
      <c r="BA1591">
        <v>0</v>
      </c>
      <c r="BB1591">
        <v>0</v>
      </c>
      <c r="BC1591">
        <v>0</v>
      </c>
      <c r="BD1591">
        <v>0</v>
      </c>
      <c r="BE1591">
        <v>0</v>
      </c>
      <c r="BF1591">
        <v>0</v>
      </c>
      <c r="BG1591">
        <v>0</v>
      </c>
      <c r="BH1591">
        <v>1</v>
      </c>
      <c r="BI1591">
        <v>1</v>
      </c>
      <c r="BJ1591">
        <v>1.1000000000000001</v>
      </c>
      <c r="BK1591">
        <v>1.5</v>
      </c>
      <c r="BL1591">
        <v>76.06</v>
      </c>
      <c r="BM1591">
        <v>11.41</v>
      </c>
      <c r="BN1591">
        <v>87.47</v>
      </c>
      <c r="BO1591">
        <v>87.47</v>
      </c>
      <c r="BQ1591" t="s">
        <v>2185</v>
      </c>
      <c r="BR1591" t="s">
        <v>82</v>
      </c>
      <c r="BS1591" t="s">
        <v>500</v>
      </c>
      <c r="BV1591" t="s">
        <v>87</v>
      </c>
      <c r="BY1591">
        <v>5510</v>
      </c>
      <c r="CC1591" t="s">
        <v>101</v>
      </c>
      <c r="CD1591">
        <v>4093</v>
      </c>
      <c r="CE1591" t="s">
        <v>86</v>
      </c>
      <c r="CI1591">
        <v>1</v>
      </c>
      <c r="CJ1591" t="s">
        <v>500</v>
      </c>
      <c r="CK1591">
        <v>21</v>
      </c>
      <c r="CL1591" t="s">
        <v>87</v>
      </c>
    </row>
    <row r="1592" spans="1:90" x14ac:dyDescent="0.3">
      <c r="A1592" t="s">
        <v>72</v>
      </c>
      <c r="B1592" t="s">
        <v>73</v>
      </c>
      <c r="C1592" t="s">
        <v>74</v>
      </c>
      <c r="E1592" t="str">
        <f>"080069848889"</f>
        <v>080069848889</v>
      </c>
      <c r="F1592" s="3">
        <v>46002</v>
      </c>
      <c r="G1592">
        <v>202609</v>
      </c>
      <c r="H1592" t="s">
        <v>75</v>
      </c>
      <c r="I1592" t="s">
        <v>76</v>
      </c>
      <c r="J1592" t="s">
        <v>77</v>
      </c>
      <c r="K1592" t="s">
        <v>78</v>
      </c>
      <c r="L1592" t="s">
        <v>302</v>
      </c>
      <c r="M1592" t="s">
        <v>303</v>
      </c>
      <c r="N1592" t="s">
        <v>1169</v>
      </c>
      <c r="O1592" t="s">
        <v>89</v>
      </c>
      <c r="P1592" t="str">
        <f>"4170073041                    "</f>
        <v xml:space="preserve">4170073041                    </v>
      </c>
      <c r="Q1592">
        <v>0</v>
      </c>
      <c r="R1592">
        <v>0</v>
      </c>
      <c r="S1592">
        <v>0</v>
      </c>
      <c r="T1592">
        <v>0</v>
      </c>
      <c r="U1592">
        <v>0</v>
      </c>
      <c r="V1592">
        <v>0</v>
      </c>
      <c r="W1592">
        <v>0</v>
      </c>
      <c r="X1592">
        <v>0</v>
      </c>
      <c r="Y1592">
        <v>0</v>
      </c>
      <c r="Z1592">
        <v>0</v>
      </c>
      <c r="AA1592">
        <v>0</v>
      </c>
      <c r="AB1592">
        <v>0</v>
      </c>
      <c r="AC1592">
        <v>0</v>
      </c>
      <c r="AD1592">
        <v>0</v>
      </c>
      <c r="AE1592">
        <v>0</v>
      </c>
      <c r="AF1592">
        <v>0</v>
      </c>
      <c r="AG1592">
        <v>0</v>
      </c>
      <c r="AH1592">
        <v>0</v>
      </c>
      <c r="AI1592">
        <v>0</v>
      </c>
      <c r="AJ1592">
        <v>0</v>
      </c>
      <c r="AK1592">
        <v>0</v>
      </c>
      <c r="AL1592">
        <v>0</v>
      </c>
      <c r="AM1592">
        <v>0</v>
      </c>
      <c r="AN1592">
        <v>0</v>
      </c>
      <c r="AO1592">
        <v>0</v>
      </c>
      <c r="AP1592">
        <v>0</v>
      </c>
      <c r="AQ1592">
        <v>25.52</v>
      </c>
      <c r="AR1592">
        <v>0</v>
      </c>
      <c r="AS1592">
        <v>0</v>
      </c>
      <c r="AT1592">
        <v>0</v>
      </c>
      <c r="AU1592">
        <v>0</v>
      </c>
      <c r="AV1592">
        <v>0</v>
      </c>
      <c r="AW1592">
        <v>0</v>
      </c>
      <c r="AX1592">
        <v>0</v>
      </c>
      <c r="AY1592">
        <v>0</v>
      </c>
      <c r="AZ1592">
        <v>0</v>
      </c>
      <c r="BA1592">
        <v>0</v>
      </c>
      <c r="BB1592">
        <v>0</v>
      </c>
      <c r="BC1592">
        <v>0</v>
      </c>
      <c r="BD1592">
        <v>0</v>
      </c>
      <c r="BE1592">
        <v>0</v>
      </c>
      <c r="BF1592">
        <v>0</v>
      </c>
      <c r="BG1592">
        <v>0</v>
      </c>
      <c r="BH1592">
        <v>1</v>
      </c>
      <c r="BI1592">
        <v>1</v>
      </c>
      <c r="BJ1592">
        <v>0.2</v>
      </c>
      <c r="BK1592">
        <v>1</v>
      </c>
      <c r="BL1592">
        <v>76.06</v>
      </c>
      <c r="BM1592">
        <v>11.41</v>
      </c>
      <c r="BN1592">
        <v>87.47</v>
      </c>
      <c r="BO1592">
        <v>87.47</v>
      </c>
      <c r="BQ1592" t="s">
        <v>1170</v>
      </c>
      <c r="BR1592" t="s">
        <v>82</v>
      </c>
      <c r="BS1592" t="s">
        <v>500</v>
      </c>
      <c r="BV1592" t="s">
        <v>87</v>
      </c>
      <c r="BY1592">
        <v>1200</v>
      </c>
      <c r="CC1592" t="s">
        <v>303</v>
      </c>
      <c r="CD1592" s="5" t="s">
        <v>933</v>
      </c>
      <c r="CE1592" t="s">
        <v>134</v>
      </c>
      <c r="CI1592">
        <v>1</v>
      </c>
      <c r="CJ1592" t="s">
        <v>500</v>
      </c>
      <c r="CK1592">
        <v>21</v>
      </c>
      <c r="CL1592" t="s">
        <v>87</v>
      </c>
    </row>
    <row r="1593" spans="1:90" x14ac:dyDescent="0.3">
      <c r="A1593" t="s">
        <v>72</v>
      </c>
      <c r="B1593" t="s">
        <v>73</v>
      </c>
      <c r="C1593" t="s">
        <v>74</v>
      </c>
      <c r="E1593" t="str">
        <f>"080069848942"</f>
        <v>080069848942</v>
      </c>
      <c r="F1593" s="3">
        <v>46002</v>
      </c>
      <c r="G1593">
        <v>202609</v>
      </c>
      <c r="H1593" t="s">
        <v>75</v>
      </c>
      <c r="I1593" t="s">
        <v>76</v>
      </c>
      <c r="J1593" t="s">
        <v>77</v>
      </c>
      <c r="K1593" t="s">
        <v>78</v>
      </c>
      <c r="L1593" t="s">
        <v>302</v>
      </c>
      <c r="M1593" t="s">
        <v>303</v>
      </c>
      <c r="N1593" t="s">
        <v>2193</v>
      </c>
      <c r="O1593" t="s">
        <v>89</v>
      </c>
      <c r="P1593" t="str">
        <f>"4170072970                    "</f>
        <v xml:space="preserve">4170072970                    </v>
      </c>
      <c r="Q1593">
        <v>0</v>
      </c>
      <c r="R1593">
        <v>0</v>
      </c>
      <c r="S1593">
        <v>0</v>
      </c>
      <c r="T1593">
        <v>0</v>
      </c>
      <c r="U1593">
        <v>0</v>
      </c>
      <c r="V1593">
        <v>0</v>
      </c>
      <c r="W1593">
        <v>0</v>
      </c>
      <c r="X1593">
        <v>0</v>
      </c>
      <c r="Y1593">
        <v>0</v>
      </c>
      <c r="Z1593">
        <v>0</v>
      </c>
      <c r="AA1593">
        <v>0</v>
      </c>
      <c r="AB1593">
        <v>0</v>
      </c>
      <c r="AC1593">
        <v>0</v>
      </c>
      <c r="AD1593">
        <v>0</v>
      </c>
      <c r="AE1593">
        <v>0</v>
      </c>
      <c r="AF1593">
        <v>0</v>
      </c>
      <c r="AG1593">
        <v>0</v>
      </c>
      <c r="AH1593">
        <v>0</v>
      </c>
      <c r="AI1593">
        <v>0</v>
      </c>
      <c r="AJ1593">
        <v>0</v>
      </c>
      <c r="AK1593">
        <v>0</v>
      </c>
      <c r="AL1593">
        <v>0</v>
      </c>
      <c r="AM1593">
        <v>0</v>
      </c>
      <c r="AN1593">
        <v>0</v>
      </c>
      <c r="AO1593">
        <v>0</v>
      </c>
      <c r="AP1593">
        <v>0</v>
      </c>
      <c r="AQ1593">
        <v>25.52</v>
      </c>
      <c r="AR1593">
        <v>0</v>
      </c>
      <c r="AS1593">
        <v>0</v>
      </c>
      <c r="AT1593">
        <v>0</v>
      </c>
      <c r="AU1593">
        <v>0</v>
      </c>
      <c r="AV1593">
        <v>0</v>
      </c>
      <c r="AW1593">
        <v>0</v>
      </c>
      <c r="AX1593">
        <v>0</v>
      </c>
      <c r="AY1593">
        <v>0</v>
      </c>
      <c r="AZ1593">
        <v>0</v>
      </c>
      <c r="BA1593">
        <v>0</v>
      </c>
      <c r="BB1593">
        <v>0</v>
      </c>
      <c r="BC1593">
        <v>0</v>
      </c>
      <c r="BD1593">
        <v>0</v>
      </c>
      <c r="BE1593">
        <v>0</v>
      </c>
      <c r="BF1593">
        <v>0</v>
      </c>
      <c r="BG1593">
        <v>0</v>
      </c>
      <c r="BH1593">
        <v>1</v>
      </c>
      <c r="BI1593">
        <v>1</v>
      </c>
      <c r="BJ1593">
        <v>0.2</v>
      </c>
      <c r="BK1593">
        <v>1</v>
      </c>
      <c r="BL1593">
        <v>76.06</v>
      </c>
      <c r="BM1593">
        <v>11.41</v>
      </c>
      <c r="BN1593">
        <v>87.47</v>
      </c>
      <c r="BO1593">
        <v>87.47</v>
      </c>
      <c r="BQ1593" t="s">
        <v>2194</v>
      </c>
      <c r="BR1593" t="s">
        <v>82</v>
      </c>
      <c r="BS1593" t="s">
        <v>500</v>
      </c>
      <c r="BV1593" t="s">
        <v>87</v>
      </c>
      <c r="BY1593">
        <v>1200</v>
      </c>
      <c r="CC1593" t="s">
        <v>303</v>
      </c>
      <c r="CD1593" s="5" t="s">
        <v>2195</v>
      </c>
      <c r="CE1593" t="s">
        <v>134</v>
      </c>
      <c r="CI1593">
        <v>1</v>
      </c>
      <c r="CJ1593" t="s">
        <v>500</v>
      </c>
      <c r="CK1593">
        <v>21</v>
      </c>
      <c r="CL1593" t="s">
        <v>87</v>
      </c>
    </row>
    <row r="1594" spans="1:90" x14ac:dyDescent="0.3">
      <c r="A1594" t="s">
        <v>72</v>
      </c>
      <c r="B1594" t="s">
        <v>73</v>
      </c>
      <c r="C1594" t="s">
        <v>74</v>
      </c>
      <c r="E1594" t="str">
        <f>"080069849202"</f>
        <v>080069849202</v>
      </c>
      <c r="F1594" s="3">
        <v>46002</v>
      </c>
      <c r="G1594">
        <v>202609</v>
      </c>
      <c r="H1594" t="s">
        <v>75</v>
      </c>
      <c r="I1594" t="s">
        <v>76</v>
      </c>
      <c r="J1594" t="s">
        <v>77</v>
      </c>
      <c r="K1594" t="s">
        <v>78</v>
      </c>
      <c r="L1594" t="s">
        <v>272</v>
      </c>
      <c r="M1594" t="s">
        <v>273</v>
      </c>
      <c r="N1594" t="s">
        <v>2196</v>
      </c>
      <c r="O1594" t="s">
        <v>89</v>
      </c>
      <c r="P1594" t="str">
        <f>"4170073068                    "</f>
        <v xml:space="preserve">4170073068                    </v>
      </c>
      <c r="Q1594">
        <v>0</v>
      </c>
      <c r="R1594">
        <v>0</v>
      </c>
      <c r="S1594">
        <v>0</v>
      </c>
      <c r="T1594">
        <v>0</v>
      </c>
      <c r="U1594">
        <v>0</v>
      </c>
      <c r="V1594">
        <v>0</v>
      </c>
      <c r="W1594">
        <v>0</v>
      </c>
      <c r="X1594">
        <v>0</v>
      </c>
      <c r="Y1594">
        <v>0</v>
      </c>
      <c r="Z1594">
        <v>0</v>
      </c>
      <c r="AA1594">
        <v>0</v>
      </c>
      <c r="AB1594">
        <v>0</v>
      </c>
      <c r="AC1594">
        <v>0</v>
      </c>
      <c r="AD1594">
        <v>0</v>
      </c>
      <c r="AE1594">
        <v>0</v>
      </c>
      <c r="AF1594">
        <v>0</v>
      </c>
      <c r="AG1594">
        <v>0</v>
      </c>
      <c r="AH1594">
        <v>0</v>
      </c>
      <c r="AI1594">
        <v>0</v>
      </c>
      <c r="AJ1594">
        <v>0</v>
      </c>
      <c r="AK1594">
        <v>0</v>
      </c>
      <c r="AL1594">
        <v>0</v>
      </c>
      <c r="AM1594">
        <v>0</v>
      </c>
      <c r="AN1594">
        <v>0</v>
      </c>
      <c r="AO1594">
        <v>0</v>
      </c>
      <c r="AP1594">
        <v>0</v>
      </c>
      <c r="AQ1594">
        <v>25.52</v>
      </c>
      <c r="AR1594">
        <v>0</v>
      </c>
      <c r="AS1594">
        <v>0</v>
      </c>
      <c r="AT1594">
        <v>0</v>
      </c>
      <c r="AU1594">
        <v>0</v>
      </c>
      <c r="AV1594">
        <v>0</v>
      </c>
      <c r="AW1594">
        <v>0</v>
      </c>
      <c r="AX1594">
        <v>0</v>
      </c>
      <c r="AY1594">
        <v>0</v>
      </c>
      <c r="AZ1594">
        <v>0</v>
      </c>
      <c r="BA1594">
        <v>0</v>
      </c>
      <c r="BB1594">
        <v>0</v>
      </c>
      <c r="BC1594">
        <v>0</v>
      </c>
      <c r="BD1594">
        <v>0</v>
      </c>
      <c r="BE1594">
        <v>0</v>
      </c>
      <c r="BF1594">
        <v>0</v>
      </c>
      <c r="BG1594">
        <v>0</v>
      </c>
      <c r="BH1594">
        <v>1</v>
      </c>
      <c r="BI1594">
        <v>2</v>
      </c>
      <c r="BJ1594">
        <v>0.9</v>
      </c>
      <c r="BK1594">
        <v>2</v>
      </c>
      <c r="BL1594">
        <v>76.06</v>
      </c>
      <c r="BM1594">
        <v>11.41</v>
      </c>
      <c r="BN1594">
        <v>87.47</v>
      </c>
      <c r="BO1594">
        <v>87.47</v>
      </c>
      <c r="BQ1594" t="s">
        <v>2197</v>
      </c>
      <c r="BR1594" t="s">
        <v>82</v>
      </c>
      <c r="BS1594" t="s">
        <v>500</v>
      </c>
      <c r="BV1594" t="s">
        <v>87</v>
      </c>
      <c r="BY1594">
        <v>4560</v>
      </c>
      <c r="CC1594" t="s">
        <v>273</v>
      </c>
      <c r="CD1594">
        <v>6220</v>
      </c>
      <c r="CE1594" t="s">
        <v>86</v>
      </c>
      <c r="CI1594">
        <v>1</v>
      </c>
      <c r="CJ1594" t="s">
        <v>500</v>
      </c>
      <c r="CK1594">
        <v>21</v>
      </c>
      <c r="CL1594" t="s">
        <v>87</v>
      </c>
    </row>
    <row r="1595" spans="1:90" x14ac:dyDescent="0.3">
      <c r="A1595" t="s">
        <v>72</v>
      </c>
      <c r="B1595" t="s">
        <v>73</v>
      </c>
      <c r="C1595" t="s">
        <v>74</v>
      </c>
      <c r="E1595" t="str">
        <f>"080069849241"</f>
        <v>080069849241</v>
      </c>
      <c r="F1595" s="3">
        <v>46002</v>
      </c>
      <c r="G1595">
        <v>202609</v>
      </c>
      <c r="H1595" t="s">
        <v>75</v>
      </c>
      <c r="I1595" t="s">
        <v>76</v>
      </c>
      <c r="J1595" t="s">
        <v>77</v>
      </c>
      <c r="K1595" t="s">
        <v>78</v>
      </c>
      <c r="L1595" t="s">
        <v>302</v>
      </c>
      <c r="M1595" t="s">
        <v>303</v>
      </c>
      <c r="N1595" t="s">
        <v>1398</v>
      </c>
      <c r="O1595" t="s">
        <v>89</v>
      </c>
      <c r="P1595" t="str">
        <f>"4170073058                    "</f>
        <v xml:space="preserve">4170073058                    </v>
      </c>
      <c r="Q1595">
        <v>0</v>
      </c>
      <c r="R1595">
        <v>0</v>
      </c>
      <c r="S1595">
        <v>0</v>
      </c>
      <c r="T1595">
        <v>0</v>
      </c>
      <c r="U1595">
        <v>0</v>
      </c>
      <c r="V1595">
        <v>0</v>
      </c>
      <c r="W1595">
        <v>0</v>
      </c>
      <c r="X1595">
        <v>0</v>
      </c>
      <c r="Y1595">
        <v>0</v>
      </c>
      <c r="Z1595">
        <v>0</v>
      </c>
      <c r="AA1595">
        <v>0</v>
      </c>
      <c r="AB1595">
        <v>0</v>
      </c>
      <c r="AC1595">
        <v>0</v>
      </c>
      <c r="AD1595">
        <v>0</v>
      </c>
      <c r="AE1595">
        <v>0</v>
      </c>
      <c r="AF1595">
        <v>0</v>
      </c>
      <c r="AG1595">
        <v>0</v>
      </c>
      <c r="AH1595">
        <v>0</v>
      </c>
      <c r="AI1595">
        <v>0</v>
      </c>
      <c r="AJ1595">
        <v>0</v>
      </c>
      <c r="AK1595">
        <v>0</v>
      </c>
      <c r="AL1595">
        <v>0</v>
      </c>
      <c r="AM1595">
        <v>0</v>
      </c>
      <c r="AN1595">
        <v>0</v>
      </c>
      <c r="AO1595">
        <v>0</v>
      </c>
      <c r="AP1595">
        <v>0</v>
      </c>
      <c r="AQ1595">
        <v>25.52</v>
      </c>
      <c r="AR1595">
        <v>0</v>
      </c>
      <c r="AS1595">
        <v>0</v>
      </c>
      <c r="AT1595">
        <v>0</v>
      </c>
      <c r="AU1595">
        <v>0</v>
      </c>
      <c r="AV1595">
        <v>0</v>
      </c>
      <c r="AW1595">
        <v>0</v>
      </c>
      <c r="AX1595">
        <v>0</v>
      </c>
      <c r="AY1595">
        <v>0</v>
      </c>
      <c r="AZ1595">
        <v>0</v>
      </c>
      <c r="BA1595">
        <v>0</v>
      </c>
      <c r="BB1595">
        <v>0</v>
      </c>
      <c r="BC1595">
        <v>0</v>
      </c>
      <c r="BD1595">
        <v>0</v>
      </c>
      <c r="BE1595">
        <v>0</v>
      </c>
      <c r="BF1595">
        <v>0</v>
      </c>
      <c r="BG1595">
        <v>0</v>
      </c>
      <c r="BH1595">
        <v>1</v>
      </c>
      <c r="BI1595">
        <v>1</v>
      </c>
      <c r="BJ1595">
        <v>0.2</v>
      </c>
      <c r="BK1595">
        <v>1</v>
      </c>
      <c r="BL1595">
        <v>76.06</v>
      </c>
      <c r="BM1595">
        <v>11.41</v>
      </c>
      <c r="BN1595">
        <v>87.47</v>
      </c>
      <c r="BO1595">
        <v>87.47</v>
      </c>
      <c r="BQ1595" t="s">
        <v>1399</v>
      </c>
      <c r="BR1595" t="s">
        <v>82</v>
      </c>
      <c r="BS1595" t="s">
        <v>500</v>
      </c>
      <c r="BV1595" t="s">
        <v>87</v>
      </c>
      <c r="BY1595">
        <v>1200</v>
      </c>
      <c r="CC1595" t="s">
        <v>303</v>
      </c>
      <c r="CD1595" s="5" t="s">
        <v>1401</v>
      </c>
      <c r="CE1595" t="s">
        <v>134</v>
      </c>
      <c r="CI1595">
        <v>1</v>
      </c>
      <c r="CJ1595" t="s">
        <v>500</v>
      </c>
      <c r="CK1595">
        <v>21</v>
      </c>
      <c r="CL1595" t="s">
        <v>87</v>
      </c>
    </row>
    <row r="1596" spans="1:90" x14ac:dyDescent="0.3">
      <c r="A1596" t="s">
        <v>72</v>
      </c>
      <c r="B1596" t="s">
        <v>73</v>
      </c>
      <c r="C1596" t="s">
        <v>74</v>
      </c>
      <c r="E1596" t="str">
        <f>"080069850180"</f>
        <v>080069850180</v>
      </c>
      <c r="F1596" s="3">
        <v>46002</v>
      </c>
      <c r="G1596">
        <v>202609</v>
      </c>
      <c r="H1596" t="s">
        <v>75</v>
      </c>
      <c r="I1596" t="s">
        <v>76</v>
      </c>
      <c r="J1596" t="s">
        <v>77</v>
      </c>
      <c r="K1596" t="s">
        <v>78</v>
      </c>
      <c r="L1596" t="s">
        <v>156</v>
      </c>
      <c r="M1596" t="s">
        <v>157</v>
      </c>
      <c r="N1596" t="s">
        <v>434</v>
      </c>
      <c r="O1596" t="s">
        <v>80</v>
      </c>
      <c r="P1596" t="str">
        <f>"4170073145                    "</f>
        <v xml:space="preserve">4170073145                    </v>
      </c>
      <c r="Q1596">
        <v>0</v>
      </c>
      <c r="R1596">
        <v>0</v>
      </c>
      <c r="S1596">
        <v>0</v>
      </c>
      <c r="T1596">
        <v>0</v>
      </c>
      <c r="U1596">
        <v>0</v>
      </c>
      <c r="V1596">
        <v>0</v>
      </c>
      <c r="W1596">
        <v>0</v>
      </c>
      <c r="X1596">
        <v>0</v>
      </c>
      <c r="Y1596">
        <v>0</v>
      </c>
      <c r="Z1596">
        <v>0</v>
      </c>
      <c r="AA1596">
        <v>0</v>
      </c>
      <c r="AB1596">
        <v>0</v>
      </c>
      <c r="AC1596">
        <v>0</v>
      </c>
      <c r="AD1596">
        <v>0</v>
      </c>
      <c r="AE1596">
        <v>0</v>
      </c>
      <c r="AF1596">
        <v>0</v>
      </c>
      <c r="AG1596">
        <v>0</v>
      </c>
      <c r="AH1596">
        <v>0</v>
      </c>
      <c r="AI1596">
        <v>0</v>
      </c>
      <c r="AJ1596">
        <v>0</v>
      </c>
      <c r="AK1596">
        <v>0</v>
      </c>
      <c r="AL1596">
        <v>0</v>
      </c>
      <c r="AM1596">
        <v>0</v>
      </c>
      <c r="AN1596">
        <v>0</v>
      </c>
      <c r="AO1596">
        <v>0</v>
      </c>
      <c r="AP1596">
        <v>0</v>
      </c>
      <c r="AQ1596">
        <v>283.98</v>
      </c>
      <c r="AR1596">
        <v>0</v>
      </c>
      <c r="AS1596">
        <v>0</v>
      </c>
      <c r="AT1596">
        <v>0</v>
      </c>
      <c r="AU1596">
        <v>0</v>
      </c>
      <c r="AV1596">
        <v>0</v>
      </c>
      <c r="AW1596">
        <v>0</v>
      </c>
      <c r="AX1596">
        <v>0</v>
      </c>
      <c r="AY1596">
        <v>0</v>
      </c>
      <c r="AZ1596">
        <v>0</v>
      </c>
      <c r="BA1596">
        <v>0</v>
      </c>
      <c r="BB1596">
        <v>0</v>
      </c>
      <c r="BC1596">
        <v>0</v>
      </c>
      <c r="BD1596">
        <v>0</v>
      </c>
      <c r="BE1596">
        <v>0</v>
      </c>
      <c r="BF1596">
        <v>0</v>
      </c>
      <c r="BG1596">
        <v>0</v>
      </c>
      <c r="BH1596">
        <v>1</v>
      </c>
      <c r="BI1596">
        <v>87</v>
      </c>
      <c r="BJ1596">
        <v>129.5</v>
      </c>
      <c r="BK1596">
        <v>130</v>
      </c>
      <c r="BL1596">
        <v>852.42</v>
      </c>
      <c r="BM1596">
        <v>127.86</v>
      </c>
      <c r="BN1596">
        <v>980.28</v>
      </c>
      <c r="BO1596">
        <v>980.28</v>
      </c>
      <c r="BQ1596" t="s">
        <v>435</v>
      </c>
      <c r="BR1596" t="s">
        <v>82</v>
      </c>
      <c r="BS1596" t="s">
        <v>500</v>
      </c>
      <c r="BV1596" t="s">
        <v>87</v>
      </c>
      <c r="BY1596">
        <v>647595</v>
      </c>
      <c r="CC1596" t="s">
        <v>157</v>
      </c>
      <c r="CD1596">
        <v>7441</v>
      </c>
      <c r="CE1596" t="s">
        <v>567</v>
      </c>
      <c r="CI1596">
        <v>3</v>
      </c>
      <c r="CJ1596" t="s">
        <v>500</v>
      </c>
      <c r="CK1596">
        <v>41</v>
      </c>
      <c r="CL1596" t="s">
        <v>87</v>
      </c>
    </row>
    <row r="1597" spans="1:90" x14ac:dyDescent="0.3">
      <c r="A1597" t="s">
        <v>72</v>
      </c>
      <c r="B1597" t="s">
        <v>73</v>
      </c>
      <c r="C1597" t="s">
        <v>74</v>
      </c>
      <c r="E1597" t="str">
        <f>"080069850356"</f>
        <v>080069850356</v>
      </c>
      <c r="F1597" s="3">
        <v>46002</v>
      </c>
      <c r="G1597">
        <v>202609</v>
      </c>
      <c r="H1597" t="s">
        <v>75</v>
      </c>
      <c r="I1597" t="s">
        <v>76</v>
      </c>
      <c r="J1597" t="s">
        <v>77</v>
      </c>
      <c r="K1597" t="s">
        <v>78</v>
      </c>
      <c r="L1597" t="s">
        <v>562</v>
      </c>
      <c r="M1597" t="s">
        <v>563</v>
      </c>
      <c r="N1597" t="s">
        <v>564</v>
      </c>
      <c r="O1597" t="s">
        <v>340</v>
      </c>
      <c r="P1597" t="str">
        <f>"4170072976                    "</f>
        <v xml:space="preserve">4170072976                    </v>
      </c>
      <c r="Q1597">
        <v>0</v>
      </c>
      <c r="R1597">
        <v>0</v>
      </c>
      <c r="S1597">
        <v>0</v>
      </c>
      <c r="T1597">
        <v>0</v>
      </c>
      <c r="U1597">
        <v>0</v>
      </c>
      <c r="V1597">
        <v>0</v>
      </c>
      <c r="W1597">
        <v>0</v>
      </c>
      <c r="X1597">
        <v>0</v>
      </c>
      <c r="Y1597">
        <v>0</v>
      </c>
      <c r="Z1597">
        <v>0</v>
      </c>
      <c r="AA1597">
        <v>0</v>
      </c>
      <c r="AB1597">
        <v>0</v>
      </c>
      <c r="AC1597">
        <v>0</v>
      </c>
      <c r="AD1597">
        <v>0</v>
      </c>
      <c r="AE1597">
        <v>0</v>
      </c>
      <c r="AF1597">
        <v>0</v>
      </c>
      <c r="AG1597">
        <v>0</v>
      </c>
      <c r="AH1597">
        <v>0</v>
      </c>
      <c r="AI1597">
        <v>0</v>
      </c>
      <c r="AJ1597">
        <v>0</v>
      </c>
      <c r="AK1597">
        <v>0</v>
      </c>
      <c r="AL1597">
        <v>0</v>
      </c>
      <c r="AM1597">
        <v>0</v>
      </c>
      <c r="AN1597">
        <v>0</v>
      </c>
      <c r="AO1597">
        <v>0</v>
      </c>
      <c r="AP1597">
        <v>0</v>
      </c>
      <c r="AQ1597">
        <v>208.24</v>
      </c>
      <c r="AR1597">
        <v>0</v>
      </c>
      <c r="AS1597">
        <v>0</v>
      </c>
      <c r="AT1597">
        <v>0</v>
      </c>
      <c r="AU1597">
        <v>0</v>
      </c>
      <c r="AV1597">
        <v>0</v>
      </c>
      <c r="AW1597">
        <v>0</v>
      </c>
      <c r="AX1597">
        <v>0</v>
      </c>
      <c r="AY1597">
        <v>0</v>
      </c>
      <c r="AZ1597">
        <v>0</v>
      </c>
      <c r="BA1597">
        <v>0</v>
      </c>
      <c r="BB1597">
        <v>0</v>
      </c>
      <c r="BC1597">
        <v>0</v>
      </c>
      <c r="BD1597">
        <v>0</v>
      </c>
      <c r="BE1597">
        <v>0</v>
      </c>
      <c r="BF1597">
        <v>0</v>
      </c>
      <c r="BG1597">
        <v>0</v>
      </c>
      <c r="BH1597">
        <v>2</v>
      </c>
      <c r="BI1597">
        <v>10</v>
      </c>
      <c r="BJ1597">
        <v>3.2</v>
      </c>
      <c r="BK1597">
        <v>10</v>
      </c>
      <c r="BL1597">
        <v>620.6</v>
      </c>
      <c r="BM1597">
        <v>93.09</v>
      </c>
      <c r="BN1597">
        <v>713.69</v>
      </c>
      <c r="BO1597">
        <v>713.69</v>
      </c>
      <c r="BQ1597" t="s">
        <v>565</v>
      </c>
      <c r="BR1597" t="s">
        <v>82</v>
      </c>
      <c r="BS1597" t="s">
        <v>500</v>
      </c>
      <c r="BV1597" t="s">
        <v>87</v>
      </c>
      <c r="BY1597">
        <v>15770</v>
      </c>
      <c r="CC1597" t="s">
        <v>563</v>
      </c>
      <c r="CD1597">
        <v>1779</v>
      </c>
      <c r="CE1597" t="s">
        <v>86</v>
      </c>
      <c r="CI1597">
        <v>1</v>
      </c>
      <c r="CJ1597" t="s">
        <v>500</v>
      </c>
      <c r="CK1597">
        <v>34</v>
      </c>
      <c r="CL1597" t="s">
        <v>87</v>
      </c>
    </row>
    <row r="1598" spans="1:90" x14ac:dyDescent="0.3">
      <c r="A1598" t="s">
        <v>72</v>
      </c>
      <c r="B1598" t="s">
        <v>73</v>
      </c>
      <c r="C1598" t="s">
        <v>74</v>
      </c>
      <c r="E1598" t="str">
        <f>"080069850389"</f>
        <v>080069850389</v>
      </c>
      <c r="F1598" s="3">
        <v>46002</v>
      </c>
      <c r="G1598">
        <v>202609</v>
      </c>
      <c r="H1598" t="s">
        <v>75</v>
      </c>
      <c r="I1598" t="s">
        <v>76</v>
      </c>
      <c r="J1598" t="s">
        <v>77</v>
      </c>
      <c r="K1598" t="s">
        <v>78</v>
      </c>
      <c r="L1598" t="s">
        <v>109</v>
      </c>
      <c r="M1598" t="s">
        <v>110</v>
      </c>
      <c r="N1598" t="s">
        <v>1799</v>
      </c>
      <c r="O1598" t="s">
        <v>89</v>
      </c>
      <c r="P1598" t="str">
        <f>"4170073117                    "</f>
        <v xml:space="preserve">4170073117                    </v>
      </c>
      <c r="Q1598">
        <v>0</v>
      </c>
      <c r="R1598">
        <v>0</v>
      </c>
      <c r="S1598">
        <v>0</v>
      </c>
      <c r="T1598">
        <v>0</v>
      </c>
      <c r="U1598">
        <v>0</v>
      </c>
      <c r="V1598">
        <v>0</v>
      </c>
      <c r="W1598">
        <v>0</v>
      </c>
      <c r="X1598">
        <v>0</v>
      </c>
      <c r="Y1598">
        <v>0</v>
      </c>
      <c r="Z1598">
        <v>0</v>
      </c>
      <c r="AA1598">
        <v>0</v>
      </c>
      <c r="AB1598">
        <v>0</v>
      </c>
      <c r="AC1598">
        <v>0</v>
      </c>
      <c r="AD1598">
        <v>0</v>
      </c>
      <c r="AE1598">
        <v>0</v>
      </c>
      <c r="AF1598">
        <v>0</v>
      </c>
      <c r="AG1598">
        <v>0</v>
      </c>
      <c r="AH1598">
        <v>0</v>
      </c>
      <c r="AI1598">
        <v>0</v>
      </c>
      <c r="AJ1598">
        <v>0</v>
      </c>
      <c r="AK1598">
        <v>0</v>
      </c>
      <c r="AL1598">
        <v>0</v>
      </c>
      <c r="AM1598">
        <v>0</v>
      </c>
      <c r="AN1598">
        <v>0</v>
      </c>
      <c r="AO1598">
        <v>0</v>
      </c>
      <c r="AP1598">
        <v>0</v>
      </c>
      <c r="AQ1598">
        <v>35.9</v>
      </c>
      <c r="AR1598">
        <v>0</v>
      </c>
      <c r="AS1598">
        <v>0</v>
      </c>
      <c r="AT1598">
        <v>0</v>
      </c>
      <c r="AU1598">
        <v>0</v>
      </c>
      <c r="AV1598">
        <v>0</v>
      </c>
      <c r="AW1598">
        <v>0</v>
      </c>
      <c r="AX1598">
        <v>0</v>
      </c>
      <c r="AY1598">
        <v>0</v>
      </c>
      <c r="AZ1598">
        <v>0</v>
      </c>
      <c r="BA1598">
        <v>0</v>
      </c>
      <c r="BB1598">
        <v>0</v>
      </c>
      <c r="BC1598">
        <v>0</v>
      </c>
      <c r="BD1598">
        <v>0</v>
      </c>
      <c r="BE1598">
        <v>0</v>
      </c>
      <c r="BF1598">
        <v>0</v>
      </c>
      <c r="BG1598">
        <v>0</v>
      </c>
      <c r="BH1598">
        <v>1</v>
      </c>
      <c r="BI1598">
        <v>1</v>
      </c>
      <c r="BJ1598">
        <v>1.1000000000000001</v>
      </c>
      <c r="BK1598">
        <v>1.5</v>
      </c>
      <c r="BL1598">
        <v>106.98</v>
      </c>
      <c r="BM1598">
        <v>16.05</v>
      </c>
      <c r="BN1598">
        <v>123.03</v>
      </c>
      <c r="BO1598">
        <v>123.03</v>
      </c>
      <c r="BQ1598" t="s">
        <v>1800</v>
      </c>
      <c r="BR1598" t="s">
        <v>82</v>
      </c>
      <c r="BS1598" t="s">
        <v>500</v>
      </c>
      <c r="BV1598" t="s">
        <v>87</v>
      </c>
      <c r="BY1598">
        <v>5510</v>
      </c>
      <c r="CC1598" t="s">
        <v>110</v>
      </c>
      <c r="CD1598">
        <v>1739</v>
      </c>
      <c r="CE1598" t="s">
        <v>86</v>
      </c>
      <c r="CI1598">
        <v>1</v>
      </c>
      <c r="CJ1598" t="s">
        <v>500</v>
      </c>
      <c r="CK1598">
        <v>24</v>
      </c>
      <c r="CL1598" t="s">
        <v>87</v>
      </c>
    </row>
    <row r="1599" spans="1:90" x14ac:dyDescent="0.3">
      <c r="A1599" t="s">
        <v>72</v>
      </c>
      <c r="B1599" t="s">
        <v>73</v>
      </c>
      <c r="C1599" t="s">
        <v>74</v>
      </c>
      <c r="E1599" t="str">
        <f>"080069850424"</f>
        <v>080069850424</v>
      </c>
      <c r="F1599" s="3">
        <v>46002</v>
      </c>
      <c r="G1599">
        <v>202609</v>
      </c>
      <c r="H1599" t="s">
        <v>75</v>
      </c>
      <c r="I1599" t="s">
        <v>76</v>
      </c>
      <c r="J1599" t="s">
        <v>77</v>
      </c>
      <c r="K1599" t="s">
        <v>78</v>
      </c>
      <c r="L1599" t="s">
        <v>75</v>
      </c>
      <c r="M1599" t="s">
        <v>76</v>
      </c>
      <c r="N1599" t="s">
        <v>2198</v>
      </c>
      <c r="O1599" t="s">
        <v>89</v>
      </c>
      <c r="P1599" t="str">
        <f>"4170073085                    "</f>
        <v xml:space="preserve">4170073085                    </v>
      </c>
      <c r="Q1599">
        <v>0</v>
      </c>
      <c r="R1599">
        <v>0</v>
      </c>
      <c r="S1599">
        <v>0</v>
      </c>
      <c r="T1599">
        <v>0</v>
      </c>
      <c r="U1599">
        <v>0</v>
      </c>
      <c r="V1599">
        <v>0</v>
      </c>
      <c r="W1599">
        <v>0</v>
      </c>
      <c r="X1599">
        <v>0</v>
      </c>
      <c r="Y1599">
        <v>0</v>
      </c>
      <c r="Z1599">
        <v>0</v>
      </c>
      <c r="AA1599">
        <v>0</v>
      </c>
      <c r="AB1599">
        <v>0</v>
      </c>
      <c r="AC1599">
        <v>0</v>
      </c>
      <c r="AD1599">
        <v>0</v>
      </c>
      <c r="AE1599">
        <v>0</v>
      </c>
      <c r="AF1599">
        <v>0</v>
      </c>
      <c r="AG1599">
        <v>0</v>
      </c>
      <c r="AH1599">
        <v>0</v>
      </c>
      <c r="AI1599">
        <v>0</v>
      </c>
      <c r="AJ1599">
        <v>0</v>
      </c>
      <c r="AK1599">
        <v>0</v>
      </c>
      <c r="AL1599">
        <v>0</v>
      </c>
      <c r="AM1599">
        <v>0</v>
      </c>
      <c r="AN1599">
        <v>0</v>
      </c>
      <c r="AO1599">
        <v>0</v>
      </c>
      <c r="AP1599">
        <v>0</v>
      </c>
      <c r="AQ1599">
        <v>19.940000000000001</v>
      </c>
      <c r="AR1599">
        <v>0</v>
      </c>
      <c r="AS1599">
        <v>0</v>
      </c>
      <c r="AT1599">
        <v>0</v>
      </c>
      <c r="AU1599">
        <v>0</v>
      </c>
      <c r="AV1599">
        <v>0</v>
      </c>
      <c r="AW1599">
        <v>0</v>
      </c>
      <c r="AX1599">
        <v>0</v>
      </c>
      <c r="AY1599">
        <v>0</v>
      </c>
      <c r="AZ1599">
        <v>0</v>
      </c>
      <c r="BA1599">
        <v>0</v>
      </c>
      <c r="BB1599">
        <v>0</v>
      </c>
      <c r="BC1599">
        <v>0</v>
      </c>
      <c r="BD1599">
        <v>0</v>
      </c>
      <c r="BE1599">
        <v>0</v>
      </c>
      <c r="BF1599">
        <v>0</v>
      </c>
      <c r="BG1599">
        <v>0</v>
      </c>
      <c r="BH1599">
        <v>1</v>
      </c>
      <c r="BI1599">
        <v>1</v>
      </c>
      <c r="BJ1599">
        <v>0.2</v>
      </c>
      <c r="BK1599">
        <v>1</v>
      </c>
      <c r="BL1599">
        <v>59.42</v>
      </c>
      <c r="BM1599">
        <v>8.91</v>
      </c>
      <c r="BN1599">
        <v>68.33</v>
      </c>
      <c r="BO1599">
        <v>68.33</v>
      </c>
      <c r="BQ1599" t="s">
        <v>2199</v>
      </c>
      <c r="BR1599" t="s">
        <v>82</v>
      </c>
      <c r="BS1599" s="3">
        <v>46003</v>
      </c>
      <c r="BT1599" s="4">
        <v>0.33194444444444443</v>
      </c>
      <c r="BU1599" t="s">
        <v>2200</v>
      </c>
      <c r="BV1599" t="s">
        <v>84</v>
      </c>
      <c r="BY1599">
        <v>1200</v>
      </c>
      <c r="CA1599" t="s">
        <v>763</v>
      </c>
      <c r="CC1599" t="s">
        <v>76</v>
      </c>
      <c r="CD1599">
        <v>1666</v>
      </c>
      <c r="CE1599" t="s">
        <v>134</v>
      </c>
      <c r="CI1599">
        <v>1</v>
      </c>
      <c r="CJ1599">
        <v>1</v>
      </c>
      <c r="CK1599">
        <v>22</v>
      </c>
      <c r="CL1599" t="s">
        <v>87</v>
      </c>
    </row>
    <row r="1600" spans="1:90" x14ac:dyDescent="0.3">
      <c r="A1600" t="s">
        <v>72</v>
      </c>
      <c r="B1600" t="s">
        <v>73</v>
      </c>
      <c r="C1600" t="s">
        <v>74</v>
      </c>
      <c r="E1600" t="str">
        <f>"080069850447"</f>
        <v>080069850447</v>
      </c>
      <c r="F1600" s="3">
        <v>46002</v>
      </c>
      <c r="G1600">
        <v>202609</v>
      </c>
      <c r="H1600" t="s">
        <v>75</v>
      </c>
      <c r="I1600" t="s">
        <v>76</v>
      </c>
      <c r="J1600" t="s">
        <v>77</v>
      </c>
      <c r="K1600" t="s">
        <v>78</v>
      </c>
      <c r="L1600" t="s">
        <v>612</v>
      </c>
      <c r="M1600" t="s">
        <v>613</v>
      </c>
      <c r="N1600" t="s">
        <v>2201</v>
      </c>
      <c r="O1600" t="s">
        <v>80</v>
      </c>
      <c r="P1600" t="str">
        <f>"4170073116                    "</f>
        <v xml:space="preserve">4170073116                    </v>
      </c>
      <c r="Q1600">
        <v>0</v>
      </c>
      <c r="R1600">
        <v>0</v>
      </c>
      <c r="S1600">
        <v>0</v>
      </c>
      <c r="T1600">
        <v>0</v>
      </c>
      <c r="U1600">
        <v>0</v>
      </c>
      <c r="V1600">
        <v>0</v>
      </c>
      <c r="W1600">
        <v>0</v>
      </c>
      <c r="X1600">
        <v>0</v>
      </c>
      <c r="Y1600">
        <v>0</v>
      </c>
      <c r="Z1600">
        <v>0</v>
      </c>
      <c r="AA1600">
        <v>0</v>
      </c>
      <c r="AB1600">
        <v>0</v>
      </c>
      <c r="AC1600">
        <v>0</v>
      </c>
      <c r="AD1600">
        <v>0</v>
      </c>
      <c r="AE1600">
        <v>0</v>
      </c>
      <c r="AF1600">
        <v>0</v>
      </c>
      <c r="AG1600">
        <v>0</v>
      </c>
      <c r="AH1600">
        <v>0</v>
      </c>
      <c r="AI1600">
        <v>0</v>
      </c>
      <c r="AJ1600">
        <v>0</v>
      </c>
      <c r="AK1600">
        <v>0</v>
      </c>
      <c r="AL1600">
        <v>0</v>
      </c>
      <c r="AM1600">
        <v>0</v>
      </c>
      <c r="AN1600">
        <v>0</v>
      </c>
      <c r="AO1600">
        <v>0</v>
      </c>
      <c r="AP1600">
        <v>0</v>
      </c>
      <c r="AQ1600">
        <v>69.61</v>
      </c>
      <c r="AR1600">
        <v>0</v>
      </c>
      <c r="AS1600">
        <v>0</v>
      </c>
      <c r="AT1600">
        <v>0</v>
      </c>
      <c r="AU1600">
        <v>0</v>
      </c>
      <c r="AV1600">
        <v>0</v>
      </c>
      <c r="AW1600">
        <v>0</v>
      </c>
      <c r="AX1600">
        <v>0</v>
      </c>
      <c r="AY1600">
        <v>0</v>
      </c>
      <c r="AZ1600">
        <v>0</v>
      </c>
      <c r="BA1600">
        <v>0</v>
      </c>
      <c r="BB1600">
        <v>0</v>
      </c>
      <c r="BC1600">
        <v>0</v>
      </c>
      <c r="BD1600">
        <v>0</v>
      </c>
      <c r="BE1600">
        <v>0</v>
      </c>
      <c r="BF1600">
        <v>0</v>
      </c>
      <c r="BG1600">
        <v>0</v>
      </c>
      <c r="BH1600">
        <v>1</v>
      </c>
      <c r="BI1600">
        <v>3</v>
      </c>
      <c r="BJ1600">
        <v>1.4</v>
      </c>
      <c r="BK1600">
        <v>3</v>
      </c>
      <c r="BL1600">
        <v>213.56</v>
      </c>
      <c r="BM1600">
        <v>32.03</v>
      </c>
      <c r="BN1600">
        <v>245.59</v>
      </c>
      <c r="BO1600">
        <v>245.59</v>
      </c>
      <c r="BQ1600" t="s">
        <v>2202</v>
      </c>
      <c r="BR1600" t="s">
        <v>82</v>
      </c>
      <c r="BS1600" t="s">
        <v>500</v>
      </c>
      <c r="BV1600" t="s">
        <v>87</v>
      </c>
      <c r="BY1600">
        <v>6840</v>
      </c>
      <c r="CC1600" t="s">
        <v>613</v>
      </c>
      <c r="CD1600">
        <v>6850</v>
      </c>
      <c r="CE1600" t="s">
        <v>654</v>
      </c>
      <c r="CI1600">
        <v>4</v>
      </c>
      <c r="CJ1600" t="s">
        <v>500</v>
      </c>
      <c r="CK1600">
        <v>43</v>
      </c>
      <c r="CL1600" t="s">
        <v>87</v>
      </c>
    </row>
    <row r="1601" spans="1:90" x14ac:dyDescent="0.3">
      <c r="A1601" t="s">
        <v>72</v>
      </c>
      <c r="B1601" t="s">
        <v>73</v>
      </c>
      <c r="C1601" t="s">
        <v>74</v>
      </c>
      <c r="E1601" t="str">
        <f>"080069850476"</f>
        <v>080069850476</v>
      </c>
      <c r="F1601" s="3">
        <v>46002</v>
      </c>
      <c r="G1601">
        <v>202609</v>
      </c>
      <c r="H1601" t="s">
        <v>75</v>
      </c>
      <c r="I1601" t="s">
        <v>76</v>
      </c>
      <c r="J1601" t="s">
        <v>77</v>
      </c>
      <c r="K1601" t="s">
        <v>78</v>
      </c>
      <c r="L1601" t="s">
        <v>562</v>
      </c>
      <c r="M1601" t="s">
        <v>563</v>
      </c>
      <c r="N1601" t="s">
        <v>564</v>
      </c>
      <c r="O1601" t="s">
        <v>89</v>
      </c>
      <c r="P1601" t="str">
        <f>"4170073064                    "</f>
        <v xml:space="preserve">4170073064                    </v>
      </c>
      <c r="Q1601">
        <v>0</v>
      </c>
      <c r="R1601">
        <v>0</v>
      </c>
      <c r="S1601">
        <v>0</v>
      </c>
      <c r="T1601">
        <v>0</v>
      </c>
      <c r="U1601">
        <v>0</v>
      </c>
      <c r="V1601">
        <v>0</v>
      </c>
      <c r="W1601">
        <v>0</v>
      </c>
      <c r="X1601">
        <v>0</v>
      </c>
      <c r="Y1601">
        <v>0</v>
      </c>
      <c r="Z1601">
        <v>0</v>
      </c>
      <c r="AA1601">
        <v>0</v>
      </c>
      <c r="AB1601">
        <v>0</v>
      </c>
      <c r="AC1601">
        <v>0</v>
      </c>
      <c r="AD1601">
        <v>0</v>
      </c>
      <c r="AE1601">
        <v>0</v>
      </c>
      <c r="AF1601">
        <v>0</v>
      </c>
      <c r="AG1601">
        <v>0</v>
      </c>
      <c r="AH1601">
        <v>0</v>
      </c>
      <c r="AI1601">
        <v>0</v>
      </c>
      <c r="AJ1601">
        <v>0</v>
      </c>
      <c r="AK1601">
        <v>0</v>
      </c>
      <c r="AL1601">
        <v>0</v>
      </c>
      <c r="AM1601">
        <v>0</v>
      </c>
      <c r="AN1601">
        <v>0</v>
      </c>
      <c r="AO1601">
        <v>0</v>
      </c>
      <c r="AP1601">
        <v>0</v>
      </c>
      <c r="AQ1601">
        <v>35.9</v>
      </c>
      <c r="AR1601">
        <v>0</v>
      </c>
      <c r="AS1601">
        <v>0</v>
      </c>
      <c r="AT1601">
        <v>0</v>
      </c>
      <c r="AU1601">
        <v>0</v>
      </c>
      <c r="AV1601">
        <v>0</v>
      </c>
      <c r="AW1601">
        <v>0</v>
      </c>
      <c r="AX1601">
        <v>0</v>
      </c>
      <c r="AY1601">
        <v>0</v>
      </c>
      <c r="AZ1601">
        <v>0</v>
      </c>
      <c r="BA1601">
        <v>0</v>
      </c>
      <c r="BB1601">
        <v>0</v>
      </c>
      <c r="BC1601">
        <v>0</v>
      </c>
      <c r="BD1601">
        <v>0</v>
      </c>
      <c r="BE1601">
        <v>0</v>
      </c>
      <c r="BF1601">
        <v>0</v>
      </c>
      <c r="BG1601">
        <v>0</v>
      </c>
      <c r="BH1601">
        <v>1</v>
      </c>
      <c r="BI1601">
        <v>2</v>
      </c>
      <c r="BJ1601">
        <v>1.1000000000000001</v>
      </c>
      <c r="BK1601">
        <v>2</v>
      </c>
      <c r="BL1601">
        <v>106.98</v>
      </c>
      <c r="BM1601">
        <v>16.05</v>
      </c>
      <c r="BN1601">
        <v>123.03</v>
      </c>
      <c r="BO1601">
        <v>123.03</v>
      </c>
      <c r="BQ1601" t="s">
        <v>565</v>
      </c>
      <c r="BR1601" t="s">
        <v>82</v>
      </c>
      <c r="BS1601" t="s">
        <v>500</v>
      </c>
      <c r="BV1601" t="s">
        <v>87</v>
      </c>
      <c r="BY1601">
        <v>5510</v>
      </c>
      <c r="CC1601" t="s">
        <v>563</v>
      </c>
      <c r="CD1601">
        <v>1779</v>
      </c>
      <c r="CE1601" t="s">
        <v>86</v>
      </c>
      <c r="CI1601">
        <v>1</v>
      </c>
      <c r="CJ1601" t="s">
        <v>500</v>
      </c>
      <c r="CK1601">
        <v>24</v>
      </c>
      <c r="CL1601" t="s">
        <v>87</v>
      </c>
    </row>
    <row r="1602" spans="1:90" x14ac:dyDescent="0.3">
      <c r="A1602" t="s">
        <v>72</v>
      </c>
      <c r="B1602" t="s">
        <v>73</v>
      </c>
      <c r="C1602" t="s">
        <v>74</v>
      </c>
      <c r="E1602" t="str">
        <f>"080069850589"</f>
        <v>080069850589</v>
      </c>
      <c r="F1602" s="3">
        <v>46002</v>
      </c>
      <c r="G1602">
        <v>202609</v>
      </c>
      <c r="H1602" t="s">
        <v>75</v>
      </c>
      <c r="I1602" t="s">
        <v>76</v>
      </c>
      <c r="J1602" t="s">
        <v>77</v>
      </c>
      <c r="K1602" t="s">
        <v>78</v>
      </c>
      <c r="L1602" t="s">
        <v>1565</v>
      </c>
      <c r="M1602" t="s">
        <v>1566</v>
      </c>
      <c r="N1602" t="s">
        <v>2203</v>
      </c>
      <c r="O1602" t="s">
        <v>89</v>
      </c>
      <c r="P1602" t="str">
        <f>"4170073128                    "</f>
        <v xml:space="preserve">4170073128                    </v>
      </c>
      <c r="Q1602">
        <v>0</v>
      </c>
      <c r="R1602">
        <v>0</v>
      </c>
      <c r="S1602">
        <v>0</v>
      </c>
      <c r="T1602">
        <v>0</v>
      </c>
      <c r="U1602">
        <v>0</v>
      </c>
      <c r="V1602">
        <v>0</v>
      </c>
      <c r="W1602">
        <v>0</v>
      </c>
      <c r="X1602">
        <v>0</v>
      </c>
      <c r="Y1602">
        <v>0</v>
      </c>
      <c r="Z1602">
        <v>0</v>
      </c>
      <c r="AA1602">
        <v>0</v>
      </c>
      <c r="AB1602">
        <v>0</v>
      </c>
      <c r="AC1602">
        <v>0</v>
      </c>
      <c r="AD1602">
        <v>0</v>
      </c>
      <c r="AE1602">
        <v>0</v>
      </c>
      <c r="AF1602">
        <v>0</v>
      </c>
      <c r="AG1602">
        <v>0</v>
      </c>
      <c r="AH1602">
        <v>0</v>
      </c>
      <c r="AI1602">
        <v>0</v>
      </c>
      <c r="AJ1602">
        <v>0</v>
      </c>
      <c r="AK1602">
        <v>0</v>
      </c>
      <c r="AL1602">
        <v>0</v>
      </c>
      <c r="AM1602">
        <v>0</v>
      </c>
      <c r="AN1602">
        <v>0</v>
      </c>
      <c r="AO1602">
        <v>0</v>
      </c>
      <c r="AP1602">
        <v>0</v>
      </c>
      <c r="AQ1602">
        <v>49.45</v>
      </c>
      <c r="AR1602">
        <v>0</v>
      </c>
      <c r="AS1602">
        <v>0</v>
      </c>
      <c r="AT1602">
        <v>0</v>
      </c>
      <c r="AU1602">
        <v>0</v>
      </c>
      <c r="AV1602">
        <v>0</v>
      </c>
      <c r="AW1602">
        <v>0</v>
      </c>
      <c r="AX1602">
        <v>0</v>
      </c>
      <c r="AY1602">
        <v>0</v>
      </c>
      <c r="AZ1602">
        <v>0</v>
      </c>
      <c r="BA1602">
        <v>0</v>
      </c>
      <c r="BB1602">
        <v>0</v>
      </c>
      <c r="BC1602">
        <v>0</v>
      </c>
      <c r="BD1602">
        <v>0</v>
      </c>
      <c r="BE1602">
        <v>0</v>
      </c>
      <c r="BF1602">
        <v>0</v>
      </c>
      <c r="BG1602">
        <v>0</v>
      </c>
      <c r="BH1602">
        <v>1</v>
      </c>
      <c r="BI1602">
        <v>1</v>
      </c>
      <c r="BJ1602">
        <v>1.6</v>
      </c>
      <c r="BK1602">
        <v>2</v>
      </c>
      <c r="BL1602">
        <v>147.38</v>
      </c>
      <c r="BM1602">
        <v>22.11</v>
      </c>
      <c r="BN1602">
        <v>169.49</v>
      </c>
      <c r="BO1602">
        <v>169.49</v>
      </c>
      <c r="BQ1602" t="s">
        <v>2204</v>
      </c>
      <c r="BR1602" t="s">
        <v>82</v>
      </c>
      <c r="BS1602" t="s">
        <v>500</v>
      </c>
      <c r="BV1602" t="s">
        <v>87</v>
      </c>
      <c r="BY1602">
        <v>8064</v>
      </c>
      <c r="CC1602" t="s">
        <v>1566</v>
      </c>
      <c r="CD1602">
        <v>3250</v>
      </c>
      <c r="CE1602" t="s">
        <v>93</v>
      </c>
      <c r="CI1602">
        <v>1</v>
      </c>
      <c r="CJ1602" t="s">
        <v>500</v>
      </c>
      <c r="CK1602">
        <v>23</v>
      </c>
      <c r="CL1602" t="s">
        <v>87</v>
      </c>
    </row>
    <row r="1603" spans="1:90" x14ac:dyDescent="0.3">
      <c r="A1603" t="s">
        <v>72</v>
      </c>
      <c r="B1603" t="s">
        <v>73</v>
      </c>
      <c r="C1603" t="s">
        <v>74</v>
      </c>
      <c r="E1603" t="str">
        <f>"080069850928"</f>
        <v>080069850928</v>
      </c>
      <c r="F1603" s="3">
        <v>46002</v>
      </c>
      <c r="G1603">
        <v>202609</v>
      </c>
      <c r="H1603" t="s">
        <v>75</v>
      </c>
      <c r="I1603" t="s">
        <v>76</v>
      </c>
      <c r="J1603" t="s">
        <v>77</v>
      </c>
      <c r="K1603" t="s">
        <v>78</v>
      </c>
      <c r="L1603" t="s">
        <v>141</v>
      </c>
      <c r="M1603" t="s">
        <v>142</v>
      </c>
      <c r="N1603" t="s">
        <v>845</v>
      </c>
      <c r="O1603" t="s">
        <v>89</v>
      </c>
      <c r="P1603" t="str">
        <f>"4170072967                    "</f>
        <v xml:space="preserve">4170072967                    </v>
      </c>
      <c r="Q1603">
        <v>0</v>
      </c>
      <c r="R1603">
        <v>0</v>
      </c>
      <c r="S1603">
        <v>0</v>
      </c>
      <c r="T1603">
        <v>0</v>
      </c>
      <c r="U1603">
        <v>0</v>
      </c>
      <c r="V1603">
        <v>0</v>
      </c>
      <c r="W1603">
        <v>0</v>
      </c>
      <c r="X1603">
        <v>0</v>
      </c>
      <c r="Y1603">
        <v>0</v>
      </c>
      <c r="Z1603">
        <v>0</v>
      </c>
      <c r="AA1603">
        <v>0</v>
      </c>
      <c r="AB1603">
        <v>0</v>
      </c>
      <c r="AC1603">
        <v>0</v>
      </c>
      <c r="AD1603">
        <v>0</v>
      </c>
      <c r="AE1603">
        <v>0</v>
      </c>
      <c r="AF1603">
        <v>0</v>
      </c>
      <c r="AG1603">
        <v>0</v>
      </c>
      <c r="AH1603">
        <v>0</v>
      </c>
      <c r="AI1603">
        <v>0</v>
      </c>
      <c r="AJ1603">
        <v>0</v>
      </c>
      <c r="AK1603">
        <v>0</v>
      </c>
      <c r="AL1603">
        <v>0</v>
      </c>
      <c r="AM1603">
        <v>0</v>
      </c>
      <c r="AN1603">
        <v>0</v>
      </c>
      <c r="AO1603">
        <v>0</v>
      </c>
      <c r="AP1603">
        <v>0</v>
      </c>
      <c r="AQ1603">
        <v>25.52</v>
      </c>
      <c r="AR1603">
        <v>0</v>
      </c>
      <c r="AS1603">
        <v>0</v>
      </c>
      <c r="AT1603">
        <v>0</v>
      </c>
      <c r="AU1603">
        <v>0</v>
      </c>
      <c r="AV1603">
        <v>0</v>
      </c>
      <c r="AW1603">
        <v>0</v>
      </c>
      <c r="AX1603">
        <v>0</v>
      </c>
      <c r="AY1603">
        <v>0</v>
      </c>
      <c r="AZ1603">
        <v>0</v>
      </c>
      <c r="BA1603">
        <v>0</v>
      </c>
      <c r="BB1603">
        <v>0</v>
      </c>
      <c r="BC1603">
        <v>0</v>
      </c>
      <c r="BD1603">
        <v>0</v>
      </c>
      <c r="BE1603">
        <v>0</v>
      </c>
      <c r="BF1603">
        <v>0</v>
      </c>
      <c r="BG1603">
        <v>0</v>
      </c>
      <c r="BH1603">
        <v>1</v>
      </c>
      <c r="BI1603">
        <v>1</v>
      </c>
      <c r="BJ1603">
        <v>0.2</v>
      </c>
      <c r="BK1603">
        <v>1</v>
      </c>
      <c r="BL1603">
        <v>76.06</v>
      </c>
      <c r="BM1603">
        <v>11.41</v>
      </c>
      <c r="BN1603">
        <v>87.47</v>
      </c>
      <c r="BO1603">
        <v>87.47</v>
      </c>
      <c r="BQ1603" t="s">
        <v>846</v>
      </c>
      <c r="BR1603" t="s">
        <v>82</v>
      </c>
      <c r="BS1603" t="s">
        <v>500</v>
      </c>
      <c r="BV1603" t="s">
        <v>87</v>
      </c>
      <c r="BY1603">
        <v>1200</v>
      </c>
      <c r="CC1603" t="s">
        <v>142</v>
      </c>
      <c r="CD1603">
        <v>6045</v>
      </c>
      <c r="CE1603" t="s">
        <v>134</v>
      </c>
      <c r="CI1603">
        <v>1</v>
      </c>
      <c r="CJ1603" t="s">
        <v>500</v>
      </c>
      <c r="CK1603">
        <v>21</v>
      </c>
      <c r="CL1603" t="s">
        <v>87</v>
      </c>
    </row>
    <row r="1604" spans="1:90" x14ac:dyDescent="0.3">
      <c r="A1604" t="s">
        <v>72</v>
      </c>
      <c r="B1604" t="s">
        <v>73</v>
      </c>
      <c r="C1604" t="s">
        <v>74</v>
      </c>
      <c r="E1604" t="str">
        <f>"080069850974"</f>
        <v>080069850974</v>
      </c>
      <c r="F1604" s="3">
        <v>46002</v>
      </c>
      <c r="G1604">
        <v>202609</v>
      </c>
      <c r="H1604" t="s">
        <v>75</v>
      </c>
      <c r="I1604" t="s">
        <v>76</v>
      </c>
      <c r="J1604" t="s">
        <v>77</v>
      </c>
      <c r="K1604" t="s">
        <v>78</v>
      </c>
      <c r="L1604" t="s">
        <v>94</v>
      </c>
      <c r="M1604" t="s">
        <v>95</v>
      </c>
      <c r="N1604" t="s">
        <v>540</v>
      </c>
      <c r="O1604" t="s">
        <v>89</v>
      </c>
      <c r="P1604" t="str">
        <f>"4170073083                    "</f>
        <v xml:space="preserve">4170073083                    </v>
      </c>
      <c r="Q1604">
        <v>0</v>
      </c>
      <c r="R1604">
        <v>0</v>
      </c>
      <c r="S1604">
        <v>0</v>
      </c>
      <c r="T1604">
        <v>0</v>
      </c>
      <c r="U1604">
        <v>0</v>
      </c>
      <c r="V1604">
        <v>0</v>
      </c>
      <c r="W1604">
        <v>0</v>
      </c>
      <c r="X1604">
        <v>0</v>
      </c>
      <c r="Y1604">
        <v>0</v>
      </c>
      <c r="Z1604">
        <v>0</v>
      </c>
      <c r="AA1604">
        <v>0</v>
      </c>
      <c r="AB1604">
        <v>0</v>
      </c>
      <c r="AC1604">
        <v>0</v>
      </c>
      <c r="AD1604">
        <v>0</v>
      </c>
      <c r="AE1604">
        <v>0</v>
      </c>
      <c r="AF1604">
        <v>0</v>
      </c>
      <c r="AG1604">
        <v>0</v>
      </c>
      <c r="AH1604">
        <v>0</v>
      </c>
      <c r="AI1604">
        <v>0</v>
      </c>
      <c r="AJ1604">
        <v>0</v>
      </c>
      <c r="AK1604">
        <v>0</v>
      </c>
      <c r="AL1604">
        <v>0</v>
      </c>
      <c r="AM1604">
        <v>0</v>
      </c>
      <c r="AN1604">
        <v>0</v>
      </c>
      <c r="AO1604">
        <v>0</v>
      </c>
      <c r="AP1604">
        <v>0</v>
      </c>
      <c r="AQ1604">
        <v>25.52</v>
      </c>
      <c r="AR1604">
        <v>0</v>
      </c>
      <c r="AS1604">
        <v>0</v>
      </c>
      <c r="AT1604">
        <v>0</v>
      </c>
      <c r="AU1604">
        <v>0</v>
      </c>
      <c r="AV1604">
        <v>0</v>
      </c>
      <c r="AW1604">
        <v>0</v>
      </c>
      <c r="AX1604">
        <v>0</v>
      </c>
      <c r="AY1604">
        <v>0</v>
      </c>
      <c r="AZ1604">
        <v>0</v>
      </c>
      <c r="BA1604">
        <v>0</v>
      </c>
      <c r="BB1604">
        <v>0</v>
      </c>
      <c r="BC1604">
        <v>0</v>
      </c>
      <c r="BD1604">
        <v>0</v>
      </c>
      <c r="BE1604">
        <v>0</v>
      </c>
      <c r="BF1604">
        <v>0</v>
      </c>
      <c r="BG1604">
        <v>0</v>
      </c>
      <c r="BH1604">
        <v>1</v>
      </c>
      <c r="BI1604">
        <v>1</v>
      </c>
      <c r="BJ1604">
        <v>0.2</v>
      </c>
      <c r="BK1604">
        <v>1</v>
      </c>
      <c r="BL1604">
        <v>76.06</v>
      </c>
      <c r="BM1604">
        <v>11.41</v>
      </c>
      <c r="BN1604">
        <v>87.47</v>
      </c>
      <c r="BO1604">
        <v>87.47</v>
      </c>
      <c r="BQ1604" t="s">
        <v>541</v>
      </c>
      <c r="BR1604" t="s">
        <v>82</v>
      </c>
      <c r="BS1604" t="s">
        <v>500</v>
      </c>
      <c r="BV1604" t="s">
        <v>87</v>
      </c>
      <c r="BY1604">
        <v>1200</v>
      </c>
      <c r="CC1604" t="s">
        <v>95</v>
      </c>
      <c r="CD1604">
        <v>3610</v>
      </c>
      <c r="CE1604" t="s">
        <v>134</v>
      </c>
      <c r="CI1604">
        <v>1</v>
      </c>
      <c r="CJ1604" t="s">
        <v>500</v>
      </c>
      <c r="CK1604">
        <v>21</v>
      </c>
      <c r="CL1604" t="s">
        <v>87</v>
      </c>
    </row>
    <row r="1605" spans="1:90" x14ac:dyDescent="0.3">
      <c r="A1605" t="s">
        <v>72</v>
      </c>
      <c r="B1605" t="s">
        <v>73</v>
      </c>
      <c r="C1605" t="s">
        <v>74</v>
      </c>
      <c r="E1605" t="str">
        <f>"080069850995"</f>
        <v>080069850995</v>
      </c>
      <c r="F1605" s="3">
        <v>46002</v>
      </c>
      <c r="G1605">
        <v>202609</v>
      </c>
      <c r="H1605" t="s">
        <v>75</v>
      </c>
      <c r="I1605" t="s">
        <v>76</v>
      </c>
      <c r="J1605" t="s">
        <v>77</v>
      </c>
      <c r="K1605" t="s">
        <v>78</v>
      </c>
      <c r="L1605" t="s">
        <v>75</v>
      </c>
      <c r="M1605" t="s">
        <v>76</v>
      </c>
      <c r="N1605" t="s">
        <v>1236</v>
      </c>
      <c r="O1605" t="s">
        <v>89</v>
      </c>
      <c r="P1605" t="str">
        <f>"4170073138                    "</f>
        <v xml:space="preserve">4170073138                    </v>
      </c>
      <c r="Q1605">
        <v>0</v>
      </c>
      <c r="R1605">
        <v>0</v>
      </c>
      <c r="S1605">
        <v>0</v>
      </c>
      <c r="T1605">
        <v>0</v>
      </c>
      <c r="U1605">
        <v>0</v>
      </c>
      <c r="V1605">
        <v>0</v>
      </c>
      <c r="W1605">
        <v>0</v>
      </c>
      <c r="X1605">
        <v>0</v>
      </c>
      <c r="Y1605">
        <v>0</v>
      </c>
      <c r="Z1605">
        <v>0</v>
      </c>
      <c r="AA1605">
        <v>0</v>
      </c>
      <c r="AB1605">
        <v>0</v>
      </c>
      <c r="AC1605">
        <v>0</v>
      </c>
      <c r="AD1605">
        <v>0</v>
      </c>
      <c r="AE1605">
        <v>0</v>
      </c>
      <c r="AF1605">
        <v>0</v>
      </c>
      <c r="AG1605">
        <v>0</v>
      </c>
      <c r="AH1605">
        <v>0</v>
      </c>
      <c r="AI1605">
        <v>0</v>
      </c>
      <c r="AJ1605">
        <v>0</v>
      </c>
      <c r="AK1605">
        <v>0</v>
      </c>
      <c r="AL1605">
        <v>0</v>
      </c>
      <c r="AM1605">
        <v>0</v>
      </c>
      <c r="AN1605">
        <v>0</v>
      </c>
      <c r="AO1605">
        <v>0</v>
      </c>
      <c r="AP1605">
        <v>0</v>
      </c>
      <c r="AQ1605">
        <v>19.940000000000001</v>
      </c>
      <c r="AR1605">
        <v>0</v>
      </c>
      <c r="AS1605">
        <v>0</v>
      </c>
      <c r="AT1605">
        <v>0</v>
      </c>
      <c r="AU1605">
        <v>0</v>
      </c>
      <c r="AV1605">
        <v>0</v>
      </c>
      <c r="AW1605">
        <v>0</v>
      </c>
      <c r="AX1605">
        <v>0</v>
      </c>
      <c r="AY1605">
        <v>0</v>
      </c>
      <c r="AZ1605">
        <v>0</v>
      </c>
      <c r="BA1605">
        <v>0</v>
      </c>
      <c r="BB1605">
        <v>0</v>
      </c>
      <c r="BC1605">
        <v>0</v>
      </c>
      <c r="BD1605">
        <v>0</v>
      </c>
      <c r="BE1605">
        <v>0</v>
      </c>
      <c r="BF1605">
        <v>0</v>
      </c>
      <c r="BG1605">
        <v>0</v>
      </c>
      <c r="BH1605">
        <v>1</v>
      </c>
      <c r="BI1605">
        <v>1</v>
      </c>
      <c r="BJ1605">
        <v>0.2</v>
      </c>
      <c r="BK1605">
        <v>1</v>
      </c>
      <c r="BL1605">
        <v>59.42</v>
      </c>
      <c r="BM1605">
        <v>8.91</v>
      </c>
      <c r="BN1605">
        <v>68.33</v>
      </c>
      <c r="BO1605">
        <v>68.33</v>
      </c>
      <c r="BQ1605" t="s">
        <v>1237</v>
      </c>
      <c r="BR1605" t="s">
        <v>82</v>
      </c>
      <c r="BS1605" t="s">
        <v>500</v>
      </c>
      <c r="BV1605" t="s">
        <v>87</v>
      </c>
      <c r="BY1605">
        <v>1200</v>
      </c>
      <c r="CC1605" t="s">
        <v>76</v>
      </c>
      <c r="CD1605">
        <v>1619</v>
      </c>
      <c r="CE1605" t="s">
        <v>134</v>
      </c>
      <c r="CI1605">
        <v>1</v>
      </c>
      <c r="CJ1605" t="s">
        <v>500</v>
      </c>
      <c r="CK1605">
        <v>22</v>
      </c>
      <c r="CL1605" t="s">
        <v>87</v>
      </c>
    </row>
    <row r="1606" spans="1:90" x14ac:dyDescent="0.3">
      <c r="A1606" t="s">
        <v>72</v>
      </c>
      <c r="B1606" t="s">
        <v>73</v>
      </c>
      <c r="C1606" t="s">
        <v>74</v>
      </c>
      <c r="E1606" t="str">
        <f>"080069850996"</f>
        <v>080069850996</v>
      </c>
      <c r="F1606" s="3">
        <v>46002</v>
      </c>
      <c r="G1606">
        <v>202609</v>
      </c>
      <c r="H1606" t="s">
        <v>75</v>
      </c>
      <c r="I1606" t="s">
        <v>76</v>
      </c>
      <c r="J1606" t="s">
        <v>77</v>
      </c>
      <c r="K1606" t="s">
        <v>78</v>
      </c>
      <c r="L1606" t="s">
        <v>202</v>
      </c>
      <c r="M1606" t="s">
        <v>203</v>
      </c>
      <c r="N1606" t="s">
        <v>204</v>
      </c>
      <c r="O1606" t="s">
        <v>89</v>
      </c>
      <c r="P1606" t="str">
        <f>"4170073027                    "</f>
        <v xml:space="preserve">4170073027                    </v>
      </c>
      <c r="Q1606">
        <v>0</v>
      </c>
      <c r="R1606">
        <v>0</v>
      </c>
      <c r="S1606">
        <v>0</v>
      </c>
      <c r="T1606">
        <v>0</v>
      </c>
      <c r="U1606">
        <v>0</v>
      </c>
      <c r="V1606">
        <v>0</v>
      </c>
      <c r="W1606">
        <v>0</v>
      </c>
      <c r="X1606">
        <v>0</v>
      </c>
      <c r="Y1606">
        <v>0</v>
      </c>
      <c r="Z1606">
        <v>0</v>
      </c>
      <c r="AA1606">
        <v>0</v>
      </c>
      <c r="AB1606">
        <v>0</v>
      </c>
      <c r="AC1606">
        <v>0</v>
      </c>
      <c r="AD1606">
        <v>0</v>
      </c>
      <c r="AE1606">
        <v>0</v>
      </c>
      <c r="AF1606">
        <v>0</v>
      </c>
      <c r="AG1606">
        <v>0</v>
      </c>
      <c r="AH1606">
        <v>0</v>
      </c>
      <c r="AI1606">
        <v>0</v>
      </c>
      <c r="AJ1606">
        <v>0</v>
      </c>
      <c r="AK1606">
        <v>0</v>
      </c>
      <c r="AL1606">
        <v>0</v>
      </c>
      <c r="AM1606">
        <v>0</v>
      </c>
      <c r="AN1606">
        <v>0</v>
      </c>
      <c r="AO1606">
        <v>0</v>
      </c>
      <c r="AP1606">
        <v>0</v>
      </c>
      <c r="AQ1606">
        <v>272.77</v>
      </c>
      <c r="AR1606">
        <v>0</v>
      </c>
      <c r="AS1606">
        <v>0</v>
      </c>
      <c r="AT1606">
        <v>0</v>
      </c>
      <c r="AU1606">
        <v>0</v>
      </c>
      <c r="AV1606">
        <v>0</v>
      </c>
      <c r="AW1606">
        <v>0</v>
      </c>
      <c r="AX1606">
        <v>0</v>
      </c>
      <c r="AY1606">
        <v>0</v>
      </c>
      <c r="AZ1606">
        <v>0</v>
      </c>
      <c r="BA1606">
        <v>0</v>
      </c>
      <c r="BB1606">
        <v>0</v>
      </c>
      <c r="BC1606">
        <v>0</v>
      </c>
      <c r="BD1606">
        <v>0</v>
      </c>
      <c r="BE1606">
        <v>0</v>
      </c>
      <c r="BF1606">
        <v>0</v>
      </c>
      <c r="BG1606">
        <v>0</v>
      </c>
      <c r="BH1606">
        <v>1</v>
      </c>
      <c r="BI1606">
        <v>8</v>
      </c>
      <c r="BJ1606">
        <v>12</v>
      </c>
      <c r="BK1606">
        <v>12</v>
      </c>
      <c r="BL1606">
        <v>812.9</v>
      </c>
      <c r="BM1606">
        <v>121.94</v>
      </c>
      <c r="BN1606">
        <v>934.84</v>
      </c>
      <c r="BO1606">
        <v>934.84</v>
      </c>
      <c r="BQ1606" t="s">
        <v>205</v>
      </c>
      <c r="BR1606" t="s">
        <v>82</v>
      </c>
      <c r="BS1606" t="s">
        <v>500</v>
      </c>
      <c r="BV1606" t="s">
        <v>87</v>
      </c>
      <c r="BY1606">
        <v>60000</v>
      </c>
      <c r="CC1606" t="s">
        <v>203</v>
      </c>
      <c r="CD1606">
        <v>2531</v>
      </c>
      <c r="CE1606" t="s">
        <v>93</v>
      </c>
      <c r="CI1606">
        <v>1</v>
      </c>
      <c r="CJ1606" t="s">
        <v>500</v>
      </c>
      <c r="CK1606">
        <v>23</v>
      </c>
      <c r="CL1606" t="s">
        <v>87</v>
      </c>
    </row>
    <row r="1607" spans="1:90" x14ac:dyDescent="0.3">
      <c r="A1607" t="s">
        <v>72</v>
      </c>
      <c r="B1607" t="s">
        <v>73</v>
      </c>
      <c r="C1607" t="s">
        <v>74</v>
      </c>
      <c r="E1607" t="str">
        <f>"080069851019"</f>
        <v>080069851019</v>
      </c>
      <c r="F1607" s="3">
        <v>46002</v>
      </c>
      <c r="G1607">
        <v>202609</v>
      </c>
      <c r="H1607" t="s">
        <v>75</v>
      </c>
      <c r="I1607" t="s">
        <v>76</v>
      </c>
      <c r="J1607" t="s">
        <v>77</v>
      </c>
      <c r="K1607" t="s">
        <v>78</v>
      </c>
      <c r="L1607" t="s">
        <v>156</v>
      </c>
      <c r="M1607" t="s">
        <v>157</v>
      </c>
      <c r="N1607" t="s">
        <v>749</v>
      </c>
      <c r="O1607" t="s">
        <v>89</v>
      </c>
      <c r="P1607" t="str">
        <f>"4170073019                    "</f>
        <v xml:space="preserve">4170073019                    </v>
      </c>
      <c r="Q1607">
        <v>0</v>
      </c>
      <c r="R1607">
        <v>0</v>
      </c>
      <c r="S1607">
        <v>0</v>
      </c>
      <c r="T1607">
        <v>0</v>
      </c>
      <c r="U1607">
        <v>0</v>
      </c>
      <c r="V1607">
        <v>0</v>
      </c>
      <c r="W1607">
        <v>0</v>
      </c>
      <c r="X1607">
        <v>0</v>
      </c>
      <c r="Y1607">
        <v>0</v>
      </c>
      <c r="Z1607">
        <v>0</v>
      </c>
      <c r="AA1607">
        <v>0</v>
      </c>
      <c r="AB1607">
        <v>0</v>
      </c>
      <c r="AC1607">
        <v>0</v>
      </c>
      <c r="AD1607">
        <v>0</v>
      </c>
      <c r="AE1607">
        <v>0</v>
      </c>
      <c r="AF1607">
        <v>0</v>
      </c>
      <c r="AG1607">
        <v>0</v>
      </c>
      <c r="AH1607">
        <v>0</v>
      </c>
      <c r="AI1607">
        <v>0</v>
      </c>
      <c r="AJ1607">
        <v>0</v>
      </c>
      <c r="AK1607">
        <v>0</v>
      </c>
      <c r="AL1607">
        <v>0</v>
      </c>
      <c r="AM1607">
        <v>0</v>
      </c>
      <c r="AN1607">
        <v>0</v>
      </c>
      <c r="AO1607">
        <v>0</v>
      </c>
      <c r="AP1607">
        <v>0</v>
      </c>
      <c r="AQ1607">
        <v>25.52</v>
      </c>
      <c r="AR1607">
        <v>0</v>
      </c>
      <c r="AS1607">
        <v>0</v>
      </c>
      <c r="AT1607">
        <v>0</v>
      </c>
      <c r="AU1607">
        <v>0</v>
      </c>
      <c r="AV1607">
        <v>0</v>
      </c>
      <c r="AW1607">
        <v>0</v>
      </c>
      <c r="AX1607">
        <v>0</v>
      </c>
      <c r="AY1607">
        <v>0</v>
      </c>
      <c r="AZ1607">
        <v>0</v>
      </c>
      <c r="BA1607">
        <v>0</v>
      </c>
      <c r="BB1607">
        <v>0</v>
      </c>
      <c r="BC1607">
        <v>0</v>
      </c>
      <c r="BD1607">
        <v>0</v>
      </c>
      <c r="BE1607">
        <v>0</v>
      </c>
      <c r="BF1607">
        <v>0</v>
      </c>
      <c r="BG1607">
        <v>0</v>
      </c>
      <c r="BH1607">
        <v>1</v>
      </c>
      <c r="BI1607">
        <v>1</v>
      </c>
      <c r="BJ1607">
        <v>0.2</v>
      </c>
      <c r="BK1607">
        <v>1</v>
      </c>
      <c r="BL1607">
        <v>76.06</v>
      </c>
      <c r="BM1607">
        <v>11.41</v>
      </c>
      <c r="BN1607">
        <v>87.47</v>
      </c>
      <c r="BO1607">
        <v>87.47</v>
      </c>
      <c r="BQ1607" t="s">
        <v>750</v>
      </c>
      <c r="BR1607" t="s">
        <v>82</v>
      </c>
      <c r="BS1607" t="s">
        <v>500</v>
      </c>
      <c r="BV1607" t="s">
        <v>87</v>
      </c>
      <c r="BY1607">
        <v>1200</v>
      </c>
      <c r="CC1607" t="s">
        <v>157</v>
      </c>
      <c r="CD1607">
        <v>8001</v>
      </c>
      <c r="CE1607" t="s">
        <v>134</v>
      </c>
      <c r="CI1607">
        <v>1</v>
      </c>
      <c r="CJ1607" t="s">
        <v>500</v>
      </c>
      <c r="CK1607">
        <v>21</v>
      </c>
      <c r="CL1607" t="s">
        <v>87</v>
      </c>
    </row>
    <row r="1608" spans="1:90" x14ac:dyDescent="0.3">
      <c r="A1608" t="s">
        <v>72</v>
      </c>
      <c r="B1608" t="s">
        <v>73</v>
      </c>
      <c r="C1608" t="s">
        <v>74</v>
      </c>
      <c r="E1608" t="str">
        <f>"080069851028"</f>
        <v>080069851028</v>
      </c>
      <c r="F1608" s="3">
        <v>46002</v>
      </c>
      <c r="G1608">
        <v>202609</v>
      </c>
      <c r="H1608" t="s">
        <v>75</v>
      </c>
      <c r="I1608" t="s">
        <v>76</v>
      </c>
      <c r="J1608" t="s">
        <v>77</v>
      </c>
      <c r="K1608" t="s">
        <v>78</v>
      </c>
      <c r="L1608" t="s">
        <v>100</v>
      </c>
      <c r="M1608" t="s">
        <v>101</v>
      </c>
      <c r="N1608" t="s">
        <v>166</v>
      </c>
      <c r="O1608" t="s">
        <v>89</v>
      </c>
      <c r="P1608" t="str">
        <f>"4170073014                    "</f>
        <v xml:space="preserve">4170073014                    </v>
      </c>
      <c r="Q1608">
        <v>0</v>
      </c>
      <c r="R1608">
        <v>0</v>
      </c>
      <c r="S1608">
        <v>0</v>
      </c>
      <c r="T1608">
        <v>0</v>
      </c>
      <c r="U1608">
        <v>0</v>
      </c>
      <c r="V1608">
        <v>0</v>
      </c>
      <c r="W1608">
        <v>0</v>
      </c>
      <c r="X1608">
        <v>0</v>
      </c>
      <c r="Y1608">
        <v>0</v>
      </c>
      <c r="Z1608">
        <v>0</v>
      </c>
      <c r="AA1608">
        <v>0</v>
      </c>
      <c r="AB1608">
        <v>0</v>
      </c>
      <c r="AC1608">
        <v>0</v>
      </c>
      <c r="AD1608">
        <v>0</v>
      </c>
      <c r="AE1608">
        <v>0</v>
      </c>
      <c r="AF1608">
        <v>0</v>
      </c>
      <c r="AG1608">
        <v>0</v>
      </c>
      <c r="AH1608">
        <v>0</v>
      </c>
      <c r="AI1608">
        <v>0</v>
      </c>
      <c r="AJ1608">
        <v>0</v>
      </c>
      <c r="AK1608">
        <v>0</v>
      </c>
      <c r="AL1608">
        <v>0</v>
      </c>
      <c r="AM1608">
        <v>0</v>
      </c>
      <c r="AN1608">
        <v>0</v>
      </c>
      <c r="AO1608">
        <v>0</v>
      </c>
      <c r="AP1608">
        <v>0</v>
      </c>
      <c r="AQ1608">
        <v>89.3</v>
      </c>
      <c r="AR1608">
        <v>0</v>
      </c>
      <c r="AS1608">
        <v>0</v>
      </c>
      <c r="AT1608">
        <v>0</v>
      </c>
      <c r="AU1608">
        <v>0</v>
      </c>
      <c r="AV1608">
        <v>0</v>
      </c>
      <c r="AW1608">
        <v>0</v>
      </c>
      <c r="AX1608">
        <v>0</v>
      </c>
      <c r="AY1608">
        <v>0</v>
      </c>
      <c r="AZ1608">
        <v>0</v>
      </c>
      <c r="BA1608">
        <v>0</v>
      </c>
      <c r="BB1608">
        <v>0</v>
      </c>
      <c r="BC1608">
        <v>0</v>
      </c>
      <c r="BD1608">
        <v>0</v>
      </c>
      <c r="BE1608">
        <v>0</v>
      </c>
      <c r="BF1608">
        <v>0</v>
      </c>
      <c r="BG1608">
        <v>0</v>
      </c>
      <c r="BH1608">
        <v>1</v>
      </c>
      <c r="BI1608">
        <v>4</v>
      </c>
      <c r="BJ1608">
        <v>7</v>
      </c>
      <c r="BK1608">
        <v>7</v>
      </c>
      <c r="BL1608">
        <v>266.14</v>
      </c>
      <c r="BM1608">
        <v>39.92</v>
      </c>
      <c r="BN1608">
        <v>306.06</v>
      </c>
      <c r="BO1608">
        <v>306.06</v>
      </c>
      <c r="BQ1608" t="s">
        <v>167</v>
      </c>
      <c r="BR1608" t="s">
        <v>82</v>
      </c>
      <c r="BS1608" t="s">
        <v>500</v>
      </c>
      <c r="BV1608" t="s">
        <v>87</v>
      </c>
      <c r="BY1608">
        <v>35000</v>
      </c>
      <c r="CC1608" t="s">
        <v>101</v>
      </c>
      <c r="CD1608">
        <v>4000</v>
      </c>
      <c r="CE1608" t="s">
        <v>93</v>
      </c>
      <c r="CI1608">
        <v>1</v>
      </c>
      <c r="CJ1608" t="s">
        <v>500</v>
      </c>
      <c r="CK1608">
        <v>21</v>
      </c>
      <c r="CL1608" t="s">
        <v>87</v>
      </c>
    </row>
    <row r="1609" spans="1:90" x14ac:dyDescent="0.3">
      <c r="A1609" t="s">
        <v>72</v>
      </c>
      <c r="B1609" t="s">
        <v>73</v>
      </c>
      <c r="C1609" t="s">
        <v>74</v>
      </c>
      <c r="E1609" t="str">
        <f>"080069851038"</f>
        <v>080069851038</v>
      </c>
      <c r="F1609" s="3">
        <v>46002</v>
      </c>
      <c r="G1609">
        <v>202609</v>
      </c>
      <c r="H1609" t="s">
        <v>75</v>
      </c>
      <c r="I1609" t="s">
        <v>76</v>
      </c>
      <c r="J1609" t="s">
        <v>77</v>
      </c>
      <c r="K1609" t="s">
        <v>78</v>
      </c>
      <c r="L1609" t="s">
        <v>156</v>
      </c>
      <c r="M1609" t="s">
        <v>157</v>
      </c>
      <c r="N1609" t="s">
        <v>2158</v>
      </c>
      <c r="O1609" t="s">
        <v>89</v>
      </c>
      <c r="P1609" t="str">
        <f>"4170073167                    "</f>
        <v xml:space="preserve">4170073167                    </v>
      </c>
      <c r="Q1609">
        <v>0</v>
      </c>
      <c r="R1609">
        <v>0</v>
      </c>
      <c r="S1609">
        <v>0</v>
      </c>
      <c r="T1609">
        <v>0</v>
      </c>
      <c r="U1609">
        <v>0</v>
      </c>
      <c r="V1609">
        <v>0</v>
      </c>
      <c r="W1609">
        <v>0</v>
      </c>
      <c r="X1609">
        <v>0</v>
      </c>
      <c r="Y1609">
        <v>0</v>
      </c>
      <c r="Z1609">
        <v>0</v>
      </c>
      <c r="AA1609">
        <v>0</v>
      </c>
      <c r="AB1609">
        <v>0</v>
      </c>
      <c r="AC1609">
        <v>0</v>
      </c>
      <c r="AD1609">
        <v>0</v>
      </c>
      <c r="AE1609">
        <v>0</v>
      </c>
      <c r="AF1609">
        <v>0</v>
      </c>
      <c r="AG1609">
        <v>0</v>
      </c>
      <c r="AH1609">
        <v>0</v>
      </c>
      <c r="AI1609">
        <v>0</v>
      </c>
      <c r="AJ1609">
        <v>0</v>
      </c>
      <c r="AK1609">
        <v>0</v>
      </c>
      <c r="AL1609">
        <v>0</v>
      </c>
      <c r="AM1609">
        <v>0</v>
      </c>
      <c r="AN1609">
        <v>0</v>
      </c>
      <c r="AO1609">
        <v>0</v>
      </c>
      <c r="AP1609">
        <v>0</v>
      </c>
      <c r="AQ1609">
        <v>25.52</v>
      </c>
      <c r="AR1609">
        <v>0</v>
      </c>
      <c r="AS1609">
        <v>0</v>
      </c>
      <c r="AT1609">
        <v>0</v>
      </c>
      <c r="AU1609">
        <v>0</v>
      </c>
      <c r="AV1609">
        <v>0</v>
      </c>
      <c r="AW1609">
        <v>0</v>
      </c>
      <c r="AX1609">
        <v>0</v>
      </c>
      <c r="AY1609">
        <v>0</v>
      </c>
      <c r="AZ1609">
        <v>0</v>
      </c>
      <c r="BA1609">
        <v>0</v>
      </c>
      <c r="BB1609">
        <v>0</v>
      </c>
      <c r="BC1609">
        <v>0</v>
      </c>
      <c r="BD1609">
        <v>0</v>
      </c>
      <c r="BE1609">
        <v>0</v>
      </c>
      <c r="BF1609">
        <v>0</v>
      </c>
      <c r="BG1609">
        <v>0</v>
      </c>
      <c r="BH1609">
        <v>1</v>
      </c>
      <c r="BI1609">
        <v>1</v>
      </c>
      <c r="BJ1609">
        <v>0.2</v>
      </c>
      <c r="BK1609">
        <v>1</v>
      </c>
      <c r="BL1609">
        <v>76.06</v>
      </c>
      <c r="BM1609">
        <v>11.41</v>
      </c>
      <c r="BN1609">
        <v>87.47</v>
      </c>
      <c r="BO1609">
        <v>87.47</v>
      </c>
      <c r="BQ1609" t="s">
        <v>2159</v>
      </c>
      <c r="BR1609" t="s">
        <v>82</v>
      </c>
      <c r="BS1609" t="s">
        <v>500</v>
      </c>
      <c r="BV1609" t="s">
        <v>87</v>
      </c>
      <c r="BY1609">
        <v>1200</v>
      </c>
      <c r="CC1609" t="s">
        <v>157</v>
      </c>
      <c r="CD1609">
        <v>7405</v>
      </c>
      <c r="CE1609" t="s">
        <v>134</v>
      </c>
      <c r="CI1609">
        <v>1</v>
      </c>
      <c r="CJ1609" t="s">
        <v>500</v>
      </c>
      <c r="CK1609">
        <v>21</v>
      </c>
      <c r="CL1609" t="s">
        <v>87</v>
      </c>
    </row>
    <row r="1610" spans="1:90" x14ac:dyDescent="0.3">
      <c r="A1610" t="s">
        <v>72</v>
      </c>
      <c r="B1610" t="s">
        <v>73</v>
      </c>
      <c r="C1610" t="s">
        <v>74</v>
      </c>
      <c r="E1610" t="str">
        <f>"080069851061"</f>
        <v>080069851061</v>
      </c>
      <c r="F1610" s="3">
        <v>46002</v>
      </c>
      <c r="G1610">
        <v>202609</v>
      </c>
      <c r="H1610" t="s">
        <v>75</v>
      </c>
      <c r="I1610" t="s">
        <v>76</v>
      </c>
      <c r="J1610" t="s">
        <v>77</v>
      </c>
      <c r="K1610" t="s">
        <v>78</v>
      </c>
      <c r="L1610" t="s">
        <v>156</v>
      </c>
      <c r="M1610" t="s">
        <v>157</v>
      </c>
      <c r="N1610" t="s">
        <v>2205</v>
      </c>
      <c r="O1610" t="s">
        <v>89</v>
      </c>
      <c r="P1610" t="str">
        <f>"4170073000                    "</f>
        <v xml:space="preserve">4170073000                    </v>
      </c>
      <c r="Q1610">
        <v>0</v>
      </c>
      <c r="R1610">
        <v>0</v>
      </c>
      <c r="S1610">
        <v>0</v>
      </c>
      <c r="T1610">
        <v>0</v>
      </c>
      <c r="U1610">
        <v>0</v>
      </c>
      <c r="V1610">
        <v>0</v>
      </c>
      <c r="W1610">
        <v>0</v>
      </c>
      <c r="X1610">
        <v>0</v>
      </c>
      <c r="Y1610">
        <v>0</v>
      </c>
      <c r="Z1610">
        <v>0</v>
      </c>
      <c r="AA1610">
        <v>0</v>
      </c>
      <c r="AB1610">
        <v>0</v>
      </c>
      <c r="AC1610">
        <v>0</v>
      </c>
      <c r="AD1610">
        <v>0</v>
      </c>
      <c r="AE1610">
        <v>0</v>
      </c>
      <c r="AF1610">
        <v>0</v>
      </c>
      <c r="AG1610">
        <v>0</v>
      </c>
      <c r="AH1610">
        <v>0</v>
      </c>
      <c r="AI1610">
        <v>0</v>
      </c>
      <c r="AJ1610">
        <v>0</v>
      </c>
      <c r="AK1610">
        <v>0</v>
      </c>
      <c r="AL1610">
        <v>0</v>
      </c>
      <c r="AM1610">
        <v>0</v>
      </c>
      <c r="AN1610">
        <v>0</v>
      </c>
      <c r="AO1610">
        <v>0</v>
      </c>
      <c r="AP1610">
        <v>0</v>
      </c>
      <c r="AQ1610">
        <v>25.52</v>
      </c>
      <c r="AR1610">
        <v>0</v>
      </c>
      <c r="AS1610">
        <v>0</v>
      </c>
      <c r="AT1610">
        <v>0</v>
      </c>
      <c r="AU1610">
        <v>0</v>
      </c>
      <c r="AV1610">
        <v>0</v>
      </c>
      <c r="AW1610">
        <v>0</v>
      </c>
      <c r="AX1610">
        <v>0</v>
      </c>
      <c r="AY1610">
        <v>0</v>
      </c>
      <c r="AZ1610">
        <v>0</v>
      </c>
      <c r="BA1610">
        <v>0</v>
      </c>
      <c r="BB1610">
        <v>0</v>
      </c>
      <c r="BC1610">
        <v>0</v>
      </c>
      <c r="BD1610">
        <v>0</v>
      </c>
      <c r="BE1610">
        <v>0</v>
      </c>
      <c r="BF1610">
        <v>0</v>
      </c>
      <c r="BG1610">
        <v>0</v>
      </c>
      <c r="BH1610">
        <v>1</v>
      </c>
      <c r="BI1610">
        <v>2</v>
      </c>
      <c r="BJ1610">
        <v>1.9</v>
      </c>
      <c r="BK1610">
        <v>2</v>
      </c>
      <c r="BL1610">
        <v>76.06</v>
      </c>
      <c r="BM1610">
        <v>11.41</v>
      </c>
      <c r="BN1610">
        <v>87.47</v>
      </c>
      <c r="BO1610">
        <v>87.47</v>
      </c>
      <c r="BQ1610" t="s">
        <v>2206</v>
      </c>
      <c r="BR1610" t="s">
        <v>82</v>
      </c>
      <c r="BS1610" t="s">
        <v>500</v>
      </c>
      <c r="BV1610" t="s">
        <v>87</v>
      </c>
      <c r="BY1610">
        <v>9600</v>
      </c>
      <c r="CC1610" t="s">
        <v>157</v>
      </c>
      <c r="CD1610">
        <v>7530</v>
      </c>
      <c r="CE1610" t="s">
        <v>86</v>
      </c>
      <c r="CI1610">
        <v>1</v>
      </c>
      <c r="CJ1610" t="s">
        <v>500</v>
      </c>
      <c r="CK1610">
        <v>21</v>
      </c>
      <c r="CL1610" t="s">
        <v>87</v>
      </c>
    </row>
    <row r="1611" spans="1:90" x14ac:dyDescent="0.3">
      <c r="A1611" t="s">
        <v>72</v>
      </c>
      <c r="B1611" t="s">
        <v>73</v>
      </c>
      <c r="C1611" t="s">
        <v>74</v>
      </c>
      <c r="E1611" t="str">
        <f>"080069851082"</f>
        <v>080069851082</v>
      </c>
      <c r="F1611" s="3">
        <v>46002</v>
      </c>
      <c r="G1611">
        <v>202609</v>
      </c>
      <c r="H1611" t="s">
        <v>75</v>
      </c>
      <c r="I1611" t="s">
        <v>76</v>
      </c>
      <c r="J1611" t="s">
        <v>77</v>
      </c>
      <c r="K1611" t="s">
        <v>78</v>
      </c>
      <c r="L1611" t="s">
        <v>176</v>
      </c>
      <c r="M1611" t="s">
        <v>177</v>
      </c>
      <c r="N1611" t="s">
        <v>2162</v>
      </c>
      <c r="O1611" t="s">
        <v>89</v>
      </c>
      <c r="P1611" t="str">
        <f>"4170073074                    "</f>
        <v xml:space="preserve">4170073074                    </v>
      </c>
      <c r="Q1611">
        <v>0</v>
      </c>
      <c r="R1611">
        <v>0</v>
      </c>
      <c r="S1611">
        <v>0</v>
      </c>
      <c r="T1611">
        <v>0</v>
      </c>
      <c r="U1611">
        <v>0</v>
      </c>
      <c r="V1611">
        <v>0</v>
      </c>
      <c r="W1611">
        <v>0</v>
      </c>
      <c r="X1611">
        <v>0</v>
      </c>
      <c r="Y1611">
        <v>0</v>
      </c>
      <c r="Z1611">
        <v>0</v>
      </c>
      <c r="AA1611">
        <v>0</v>
      </c>
      <c r="AB1611">
        <v>0</v>
      </c>
      <c r="AC1611">
        <v>0</v>
      </c>
      <c r="AD1611">
        <v>0</v>
      </c>
      <c r="AE1611">
        <v>0</v>
      </c>
      <c r="AF1611">
        <v>0</v>
      </c>
      <c r="AG1611">
        <v>0</v>
      </c>
      <c r="AH1611">
        <v>0</v>
      </c>
      <c r="AI1611">
        <v>0</v>
      </c>
      <c r="AJ1611">
        <v>0</v>
      </c>
      <c r="AK1611">
        <v>0</v>
      </c>
      <c r="AL1611">
        <v>0</v>
      </c>
      <c r="AM1611">
        <v>0</v>
      </c>
      <c r="AN1611">
        <v>0</v>
      </c>
      <c r="AO1611">
        <v>0</v>
      </c>
      <c r="AP1611">
        <v>0</v>
      </c>
      <c r="AQ1611">
        <v>19.940000000000001</v>
      </c>
      <c r="AR1611">
        <v>0</v>
      </c>
      <c r="AS1611">
        <v>0</v>
      </c>
      <c r="AT1611">
        <v>0</v>
      </c>
      <c r="AU1611">
        <v>0</v>
      </c>
      <c r="AV1611">
        <v>0</v>
      </c>
      <c r="AW1611">
        <v>0</v>
      </c>
      <c r="AX1611">
        <v>0</v>
      </c>
      <c r="AY1611">
        <v>0</v>
      </c>
      <c r="AZ1611">
        <v>0</v>
      </c>
      <c r="BA1611">
        <v>0</v>
      </c>
      <c r="BB1611">
        <v>0</v>
      </c>
      <c r="BC1611">
        <v>0</v>
      </c>
      <c r="BD1611">
        <v>0</v>
      </c>
      <c r="BE1611">
        <v>0</v>
      </c>
      <c r="BF1611">
        <v>0</v>
      </c>
      <c r="BG1611">
        <v>0</v>
      </c>
      <c r="BH1611">
        <v>1</v>
      </c>
      <c r="BI1611">
        <v>1</v>
      </c>
      <c r="BJ1611">
        <v>1.1000000000000001</v>
      </c>
      <c r="BK1611">
        <v>2</v>
      </c>
      <c r="BL1611">
        <v>59.42</v>
      </c>
      <c r="BM1611">
        <v>8.91</v>
      </c>
      <c r="BN1611">
        <v>68.33</v>
      </c>
      <c r="BO1611">
        <v>68.33</v>
      </c>
      <c r="BQ1611" t="s">
        <v>2207</v>
      </c>
      <c r="BR1611" t="s">
        <v>82</v>
      </c>
      <c r="BS1611" t="s">
        <v>500</v>
      </c>
      <c r="BV1611" t="s">
        <v>87</v>
      </c>
      <c r="BY1611">
        <v>5510</v>
      </c>
      <c r="CC1611" t="s">
        <v>177</v>
      </c>
      <c r="CD1611">
        <v>2042</v>
      </c>
      <c r="CE1611" t="s">
        <v>86</v>
      </c>
      <c r="CI1611">
        <v>1</v>
      </c>
      <c r="CJ1611" t="s">
        <v>500</v>
      </c>
      <c r="CK1611">
        <v>22</v>
      </c>
      <c r="CL1611" t="s">
        <v>87</v>
      </c>
    </row>
    <row r="1612" spans="1:90" x14ac:dyDescent="0.3">
      <c r="A1612" t="s">
        <v>72</v>
      </c>
      <c r="B1612" t="s">
        <v>73</v>
      </c>
      <c r="C1612" t="s">
        <v>74</v>
      </c>
      <c r="E1612" t="str">
        <f>"080069851118"</f>
        <v>080069851118</v>
      </c>
      <c r="F1612" s="3">
        <v>46002</v>
      </c>
      <c r="G1612">
        <v>202609</v>
      </c>
      <c r="H1612" t="s">
        <v>75</v>
      </c>
      <c r="I1612" t="s">
        <v>76</v>
      </c>
      <c r="J1612" t="s">
        <v>77</v>
      </c>
      <c r="K1612" t="s">
        <v>78</v>
      </c>
      <c r="L1612" t="s">
        <v>458</v>
      </c>
      <c r="M1612" t="s">
        <v>459</v>
      </c>
      <c r="N1612" t="s">
        <v>460</v>
      </c>
      <c r="O1612" t="s">
        <v>89</v>
      </c>
      <c r="P1612" t="str">
        <f>"4170073127                    "</f>
        <v xml:space="preserve">4170073127                    </v>
      </c>
      <c r="Q1612">
        <v>0</v>
      </c>
      <c r="R1612">
        <v>0</v>
      </c>
      <c r="S1612">
        <v>0</v>
      </c>
      <c r="T1612">
        <v>0</v>
      </c>
      <c r="U1612">
        <v>0</v>
      </c>
      <c r="V1612">
        <v>0</v>
      </c>
      <c r="W1612">
        <v>0</v>
      </c>
      <c r="X1612">
        <v>0</v>
      </c>
      <c r="Y1612">
        <v>0</v>
      </c>
      <c r="Z1612">
        <v>0</v>
      </c>
      <c r="AA1612">
        <v>0</v>
      </c>
      <c r="AB1612">
        <v>0</v>
      </c>
      <c r="AC1612">
        <v>0</v>
      </c>
      <c r="AD1612">
        <v>0</v>
      </c>
      <c r="AE1612">
        <v>0</v>
      </c>
      <c r="AF1612">
        <v>0</v>
      </c>
      <c r="AG1612">
        <v>0</v>
      </c>
      <c r="AH1612">
        <v>0</v>
      </c>
      <c r="AI1612">
        <v>0</v>
      </c>
      <c r="AJ1612">
        <v>0</v>
      </c>
      <c r="AK1612">
        <v>0</v>
      </c>
      <c r="AL1612">
        <v>0</v>
      </c>
      <c r="AM1612">
        <v>0</v>
      </c>
      <c r="AN1612">
        <v>0</v>
      </c>
      <c r="AO1612">
        <v>0</v>
      </c>
      <c r="AP1612">
        <v>0</v>
      </c>
      <c r="AQ1612">
        <v>49.45</v>
      </c>
      <c r="AR1612">
        <v>0</v>
      </c>
      <c r="AS1612">
        <v>0</v>
      </c>
      <c r="AT1612">
        <v>0</v>
      </c>
      <c r="AU1612">
        <v>0</v>
      </c>
      <c r="AV1612">
        <v>0</v>
      </c>
      <c r="AW1612">
        <v>0</v>
      </c>
      <c r="AX1612">
        <v>0</v>
      </c>
      <c r="AY1612">
        <v>0</v>
      </c>
      <c r="AZ1612">
        <v>0</v>
      </c>
      <c r="BA1612">
        <v>0</v>
      </c>
      <c r="BB1612">
        <v>0</v>
      </c>
      <c r="BC1612">
        <v>0</v>
      </c>
      <c r="BD1612">
        <v>0</v>
      </c>
      <c r="BE1612">
        <v>0</v>
      </c>
      <c r="BF1612">
        <v>0</v>
      </c>
      <c r="BG1612">
        <v>0</v>
      </c>
      <c r="BH1612">
        <v>1</v>
      </c>
      <c r="BI1612">
        <v>2</v>
      </c>
      <c r="BJ1612">
        <v>1.1000000000000001</v>
      </c>
      <c r="BK1612">
        <v>2</v>
      </c>
      <c r="BL1612">
        <v>147.38</v>
      </c>
      <c r="BM1612">
        <v>22.11</v>
      </c>
      <c r="BN1612">
        <v>169.49</v>
      </c>
      <c r="BO1612">
        <v>169.49</v>
      </c>
      <c r="BQ1612" t="s">
        <v>461</v>
      </c>
      <c r="BR1612" t="s">
        <v>82</v>
      </c>
      <c r="BS1612" t="s">
        <v>500</v>
      </c>
      <c r="BV1612" t="s">
        <v>87</v>
      </c>
      <c r="BY1612">
        <v>5510</v>
      </c>
      <c r="CC1612" t="s">
        <v>459</v>
      </c>
      <c r="CD1612">
        <v>7130</v>
      </c>
      <c r="CE1612" t="s">
        <v>86</v>
      </c>
      <c r="CI1612">
        <v>1</v>
      </c>
      <c r="CJ1612" t="s">
        <v>500</v>
      </c>
      <c r="CK1612">
        <v>23</v>
      </c>
      <c r="CL1612" t="s">
        <v>87</v>
      </c>
    </row>
    <row r="1613" spans="1:90" x14ac:dyDescent="0.3">
      <c r="A1613" t="s">
        <v>72</v>
      </c>
      <c r="B1613" t="s">
        <v>73</v>
      </c>
      <c r="C1613" t="s">
        <v>74</v>
      </c>
      <c r="E1613" t="str">
        <f>"080069851151"</f>
        <v>080069851151</v>
      </c>
      <c r="F1613" s="3">
        <v>46002</v>
      </c>
      <c r="G1613">
        <v>202609</v>
      </c>
      <c r="H1613" t="s">
        <v>75</v>
      </c>
      <c r="I1613" t="s">
        <v>76</v>
      </c>
      <c r="J1613" t="s">
        <v>77</v>
      </c>
      <c r="K1613" t="s">
        <v>78</v>
      </c>
      <c r="L1613" t="s">
        <v>109</v>
      </c>
      <c r="M1613" t="s">
        <v>110</v>
      </c>
      <c r="N1613" t="s">
        <v>511</v>
      </c>
      <c r="O1613" t="s">
        <v>89</v>
      </c>
      <c r="P1613" t="str">
        <f>"4170072968                    "</f>
        <v xml:space="preserve">4170072968                    </v>
      </c>
      <c r="Q1613">
        <v>0</v>
      </c>
      <c r="R1613">
        <v>0</v>
      </c>
      <c r="S1613">
        <v>0</v>
      </c>
      <c r="T1613">
        <v>0</v>
      </c>
      <c r="U1613">
        <v>0</v>
      </c>
      <c r="V1613">
        <v>0</v>
      </c>
      <c r="W1613">
        <v>0</v>
      </c>
      <c r="X1613">
        <v>0</v>
      </c>
      <c r="Y1613">
        <v>0</v>
      </c>
      <c r="Z1613">
        <v>0</v>
      </c>
      <c r="AA1613">
        <v>0</v>
      </c>
      <c r="AB1613">
        <v>0</v>
      </c>
      <c r="AC1613">
        <v>0</v>
      </c>
      <c r="AD1613">
        <v>0</v>
      </c>
      <c r="AE1613">
        <v>0</v>
      </c>
      <c r="AF1613">
        <v>0</v>
      </c>
      <c r="AG1613">
        <v>0</v>
      </c>
      <c r="AH1613">
        <v>0</v>
      </c>
      <c r="AI1613">
        <v>0</v>
      </c>
      <c r="AJ1613">
        <v>0</v>
      </c>
      <c r="AK1613">
        <v>0</v>
      </c>
      <c r="AL1613">
        <v>0</v>
      </c>
      <c r="AM1613">
        <v>0</v>
      </c>
      <c r="AN1613">
        <v>0</v>
      </c>
      <c r="AO1613">
        <v>0</v>
      </c>
      <c r="AP1613">
        <v>0</v>
      </c>
      <c r="AQ1613">
        <v>53.38</v>
      </c>
      <c r="AR1613">
        <v>0</v>
      </c>
      <c r="AS1613">
        <v>0</v>
      </c>
      <c r="AT1613">
        <v>0</v>
      </c>
      <c r="AU1613">
        <v>0</v>
      </c>
      <c r="AV1613">
        <v>0</v>
      </c>
      <c r="AW1613">
        <v>0</v>
      </c>
      <c r="AX1613">
        <v>0</v>
      </c>
      <c r="AY1613">
        <v>0</v>
      </c>
      <c r="AZ1613">
        <v>0</v>
      </c>
      <c r="BA1613">
        <v>0</v>
      </c>
      <c r="BB1613">
        <v>0</v>
      </c>
      <c r="BC1613">
        <v>0</v>
      </c>
      <c r="BD1613">
        <v>0</v>
      </c>
      <c r="BE1613">
        <v>0</v>
      </c>
      <c r="BF1613">
        <v>0</v>
      </c>
      <c r="BG1613">
        <v>0</v>
      </c>
      <c r="BH1613">
        <v>1</v>
      </c>
      <c r="BI1613">
        <v>3</v>
      </c>
      <c r="BJ1613">
        <v>1.8</v>
      </c>
      <c r="BK1613">
        <v>3</v>
      </c>
      <c r="BL1613">
        <v>159.08000000000001</v>
      </c>
      <c r="BM1613">
        <v>23.86</v>
      </c>
      <c r="BN1613">
        <v>182.94</v>
      </c>
      <c r="BO1613">
        <v>182.94</v>
      </c>
      <c r="BQ1613" t="s">
        <v>512</v>
      </c>
      <c r="BR1613" t="s">
        <v>82</v>
      </c>
      <c r="BS1613" t="s">
        <v>500</v>
      </c>
      <c r="BV1613" t="s">
        <v>87</v>
      </c>
      <c r="BY1613">
        <v>8816</v>
      </c>
      <c r="CC1613" t="s">
        <v>110</v>
      </c>
      <c r="CD1613">
        <v>1748</v>
      </c>
      <c r="CE1613" t="s">
        <v>86</v>
      </c>
      <c r="CI1613">
        <v>1</v>
      </c>
      <c r="CJ1613" t="s">
        <v>500</v>
      </c>
      <c r="CK1613">
        <v>24</v>
      </c>
      <c r="CL1613" t="s">
        <v>87</v>
      </c>
    </row>
    <row r="1614" spans="1:90" x14ac:dyDescent="0.3">
      <c r="A1614" t="s">
        <v>72</v>
      </c>
      <c r="B1614" t="s">
        <v>73</v>
      </c>
      <c r="C1614" t="s">
        <v>74</v>
      </c>
      <c r="E1614" t="str">
        <f>"080069851177"</f>
        <v>080069851177</v>
      </c>
      <c r="F1614" s="3">
        <v>46002</v>
      </c>
      <c r="G1614">
        <v>202609</v>
      </c>
      <c r="H1614" t="s">
        <v>75</v>
      </c>
      <c r="I1614" t="s">
        <v>76</v>
      </c>
      <c r="J1614" t="s">
        <v>77</v>
      </c>
      <c r="K1614" t="s">
        <v>78</v>
      </c>
      <c r="L1614" t="s">
        <v>176</v>
      </c>
      <c r="M1614" t="s">
        <v>177</v>
      </c>
      <c r="N1614" t="s">
        <v>1157</v>
      </c>
      <c r="O1614" t="s">
        <v>89</v>
      </c>
      <c r="P1614" t="str">
        <f>"4170073028                    "</f>
        <v xml:space="preserve">4170073028                    </v>
      </c>
      <c r="Q1614">
        <v>0</v>
      </c>
      <c r="R1614">
        <v>0</v>
      </c>
      <c r="S1614">
        <v>0</v>
      </c>
      <c r="T1614">
        <v>0</v>
      </c>
      <c r="U1614">
        <v>0</v>
      </c>
      <c r="V1614">
        <v>0</v>
      </c>
      <c r="W1614">
        <v>0</v>
      </c>
      <c r="X1614">
        <v>0</v>
      </c>
      <c r="Y1614">
        <v>0</v>
      </c>
      <c r="Z1614">
        <v>0</v>
      </c>
      <c r="AA1614">
        <v>0</v>
      </c>
      <c r="AB1614">
        <v>0</v>
      </c>
      <c r="AC1614">
        <v>0</v>
      </c>
      <c r="AD1614">
        <v>0</v>
      </c>
      <c r="AE1614">
        <v>0</v>
      </c>
      <c r="AF1614">
        <v>0</v>
      </c>
      <c r="AG1614">
        <v>0</v>
      </c>
      <c r="AH1614">
        <v>0</v>
      </c>
      <c r="AI1614">
        <v>0</v>
      </c>
      <c r="AJ1614">
        <v>0</v>
      </c>
      <c r="AK1614">
        <v>0</v>
      </c>
      <c r="AL1614">
        <v>0</v>
      </c>
      <c r="AM1614">
        <v>0</v>
      </c>
      <c r="AN1614">
        <v>0</v>
      </c>
      <c r="AO1614">
        <v>0</v>
      </c>
      <c r="AP1614">
        <v>0</v>
      </c>
      <c r="AQ1614">
        <v>19.940000000000001</v>
      </c>
      <c r="AR1614">
        <v>0</v>
      </c>
      <c r="AS1614">
        <v>0</v>
      </c>
      <c r="AT1614">
        <v>0</v>
      </c>
      <c r="AU1614">
        <v>0</v>
      </c>
      <c r="AV1614">
        <v>0</v>
      </c>
      <c r="AW1614">
        <v>0</v>
      </c>
      <c r="AX1614">
        <v>0</v>
      </c>
      <c r="AY1614">
        <v>0</v>
      </c>
      <c r="AZ1614">
        <v>0</v>
      </c>
      <c r="BA1614">
        <v>0</v>
      </c>
      <c r="BB1614">
        <v>0</v>
      </c>
      <c r="BC1614">
        <v>0</v>
      </c>
      <c r="BD1614">
        <v>0</v>
      </c>
      <c r="BE1614">
        <v>0</v>
      </c>
      <c r="BF1614">
        <v>0</v>
      </c>
      <c r="BG1614">
        <v>0</v>
      </c>
      <c r="BH1614">
        <v>1</v>
      </c>
      <c r="BI1614">
        <v>2</v>
      </c>
      <c r="BJ1614">
        <v>1.7</v>
      </c>
      <c r="BK1614">
        <v>2</v>
      </c>
      <c r="BL1614">
        <v>59.42</v>
      </c>
      <c r="BM1614">
        <v>8.91</v>
      </c>
      <c r="BN1614">
        <v>68.33</v>
      </c>
      <c r="BO1614">
        <v>68.33</v>
      </c>
      <c r="BQ1614" t="s">
        <v>1158</v>
      </c>
      <c r="BR1614" t="s">
        <v>82</v>
      </c>
      <c r="BS1614" s="3">
        <v>46003</v>
      </c>
      <c r="BT1614" s="4">
        <v>0.32569444444444445</v>
      </c>
      <c r="BU1614" t="s">
        <v>1693</v>
      </c>
      <c r="BV1614" t="s">
        <v>84</v>
      </c>
      <c r="BY1614">
        <v>8316</v>
      </c>
      <c r="CA1614" t="s">
        <v>1650</v>
      </c>
      <c r="CC1614" t="s">
        <v>177</v>
      </c>
      <c r="CD1614">
        <v>2040</v>
      </c>
      <c r="CE1614" t="s">
        <v>93</v>
      </c>
      <c r="CI1614">
        <v>1</v>
      </c>
      <c r="CJ1614">
        <v>1</v>
      </c>
      <c r="CK1614">
        <v>22</v>
      </c>
      <c r="CL1614" t="s">
        <v>87</v>
      </c>
    </row>
    <row r="1615" spans="1:90" x14ac:dyDescent="0.3">
      <c r="A1615" t="s">
        <v>72</v>
      </c>
      <c r="B1615" t="s">
        <v>73</v>
      </c>
      <c r="C1615" t="s">
        <v>74</v>
      </c>
      <c r="E1615" t="str">
        <f>"080069851205"</f>
        <v>080069851205</v>
      </c>
      <c r="F1615" s="3">
        <v>46002</v>
      </c>
      <c r="G1615">
        <v>202609</v>
      </c>
      <c r="H1615" t="s">
        <v>75</v>
      </c>
      <c r="I1615" t="s">
        <v>76</v>
      </c>
      <c r="J1615" t="s">
        <v>77</v>
      </c>
      <c r="K1615" t="s">
        <v>78</v>
      </c>
      <c r="L1615" t="s">
        <v>502</v>
      </c>
      <c r="M1615" t="s">
        <v>503</v>
      </c>
      <c r="N1615" t="s">
        <v>1109</v>
      </c>
      <c r="O1615" t="s">
        <v>340</v>
      </c>
      <c r="P1615" t="str">
        <f>"4170073163                    "</f>
        <v xml:space="preserve">4170073163                    </v>
      </c>
      <c r="Q1615">
        <v>0</v>
      </c>
      <c r="R1615">
        <v>0</v>
      </c>
      <c r="S1615">
        <v>0</v>
      </c>
      <c r="T1615">
        <v>0</v>
      </c>
      <c r="U1615">
        <v>0</v>
      </c>
      <c r="V1615">
        <v>0</v>
      </c>
      <c r="W1615">
        <v>0</v>
      </c>
      <c r="X1615">
        <v>0</v>
      </c>
      <c r="Y1615">
        <v>0</v>
      </c>
      <c r="Z1615">
        <v>0</v>
      </c>
      <c r="AA1615">
        <v>0</v>
      </c>
      <c r="AB1615">
        <v>0</v>
      </c>
      <c r="AC1615">
        <v>0</v>
      </c>
      <c r="AD1615">
        <v>0</v>
      </c>
      <c r="AE1615">
        <v>0</v>
      </c>
      <c r="AF1615">
        <v>0</v>
      </c>
      <c r="AG1615">
        <v>0</v>
      </c>
      <c r="AH1615">
        <v>0</v>
      </c>
      <c r="AI1615">
        <v>0</v>
      </c>
      <c r="AJ1615">
        <v>0</v>
      </c>
      <c r="AK1615">
        <v>0</v>
      </c>
      <c r="AL1615">
        <v>0</v>
      </c>
      <c r="AM1615">
        <v>0</v>
      </c>
      <c r="AN1615">
        <v>0</v>
      </c>
      <c r="AO1615">
        <v>0</v>
      </c>
      <c r="AP1615">
        <v>0</v>
      </c>
      <c r="AQ1615">
        <v>19.940000000000001</v>
      </c>
      <c r="AR1615">
        <v>0</v>
      </c>
      <c r="AS1615">
        <v>0</v>
      </c>
      <c r="AT1615">
        <v>0</v>
      </c>
      <c r="AU1615">
        <v>0</v>
      </c>
      <c r="AV1615">
        <v>0</v>
      </c>
      <c r="AW1615">
        <v>0</v>
      </c>
      <c r="AX1615">
        <v>0</v>
      </c>
      <c r="AY1615">
        <v>0</v>
      </c>
      <c r="AZ1615">
        <v>0</v>
      </c>
      <c r="BA1615">
        <v>0</v>
      </c>
      <c r="BB1615">
        <v>0</v>
      </c>
      <c r="BC1615">
        <v>0</v>
      </c>
      <c r="BD1615">
        <v>0</v>
      </c>
      <c r="BE1615">
        <v>0</v>
      </c>
      <c r="BF1615">
        <v>0</v>
      </c>
      <c r="BG1615">
        <v>0</v>
      </c>
      <c r="BH1615">
        <v>1</v>
      </c>
      <c r="BI1615">
        <v>2</v>
      </c>
      <c r="BJ1615">
        <v>4.7</v>
      </c>
      <c r="BK1615">
        <v>5</v>
      </c>
      <c r="BL1615">
        <v>59.43</v>
      </c>
      <c r="BM1615">
        <v>8.91</v>
      </c>
      <c r="BN1615">
        <v>68.34</v>
      </c>
      <c r="BO1615">
        <v>68.34</v>
      </c>
      <c r="BQ1615" t="s">
        <v>1110</v>
      </c>
      <c r="BR1615" t="s">
        <v>82</v>
      </c>
      <c r="BS1615" t="s">
        <v>500</v>
      </c>
      <c r="BV1615" t="s">
        <v>87</v>
      </c>
      <c r="BY1615">
        <v>23436</v>
      </c>
      <c r="CC1615" t="s">
        <v>503</v>
      </c>
      <c r="CD1615">
        <v>1559</v>
      </c>
      <c r="CE1615" t="s">
        <v>93</v>
      </c>
      <c r="CI1615">
        <v>1</v>
      </c>
      <c r="CJ1615" t="s">
        <v>500</v>
      </c>
      <c r="CK1615">
        <v>32</v>
      </c>
      <c r="CL1615" t="s">
        <v>87</v>
      </c>
    </row>
    <row r="1616" spans="1:90" x14ac:dyDescent="0.3">
      <c r="A1616" t="s">
        <v>72</v>
      </c>
      <c r="B1616" t="s">
        <v>73</v>
      </c>
      <c r="C1616" t="s">
        <v>74</v>
      </c>
      <c r="E1616" t="str">
        <f>"080069851235"</f>
        <v>080069851235</v>
      </c>
      <c r="F1616" s="3">
        <v>46002</v>
      </c>
      <c r="G1616">
        <v>202609</v>
      </c>
      <c r="H1616" t="s">
        <v>75</v>
      </c>
      <c r="I1616" t="s">
        <v>76</v>
      </c>
      <c r="J1616" t="s">
        <v>77</v>
      </c>
      <c r="K1616" t="s">
        <v>78</v>
      </c>
      <c r="L1616" t="s">
        <v>128</v>
      </c>
      <c r="M1616" t="s">
        <v>129</v>
      </c>
      <c r="N1616" t="s">
        <v>1289</v>
      </c>
      <c r="O1616" t="s">
        <v>89</v>
      </c>
      <c r="P1616" t="str">
        <f>"4170073111                    "</f>
        <v xml:space="preserve">4170073111                    </v>
      </c>
      <c r="Q1616">
        <v>0</v>
      </c>
      <c r="R1616">
        <v>0</v>
      </c>
      <c r="S1616">
        <v>0</v>
      </c>
      <c r="T1616">
        <v>0</v>
      </c>
      <c r="U1616">
        <v>0</v>
      </c>
      <c r="V1616">
        <v>0</v>
      </c>
      <c r="W1616">
        <v>0</v>
      </c>
      <c r="X1616">
        <v>0</v>
      </c>
      <c r="Y1616">
        <v>0</v>
      </c>
      <c r="Z1616">
        <v>0</v>
      </c>
      <c r="AA1616">
        <v>0</v>
      </c>
      <c r="AB1616">
        <v>0</v>
      </c>
      <c r="AC1616">
        <v>0</v>
      </c>
      <c r="AD1616">
        <v>0</v>
      </c>
      <c r="AE1616">
        <v>0</v>
      </c>
      <c r="AF1616">
        <v>0</v>
      </c>
      <c r="AG1616">
        <v>0</v>
      </c>
      <c r="AH1616">
        <v>0</v>
      </c>
      <c r="AI1616">
        <v>0</v>
      </c>
      <c r="AJ1616">
        <v>0</v>
      </c>
      <c r="AK1616">
        <v>0</v>
      </c>
      <c r="AL1616">
        <v>0</v>
      </c>
      <c r="AM1616">
        <v>0</v>
      </c>
      <c r="AN1616">
        <v>0</v>
      </c>
      <c r="AO1616">
        <v>0</v>
      </c>
      <c r="AP1616">
        <v>0</v>
      </c>
      <c r="AQ1616">
        <v>25.52</v>
      </c>
      <c r="AR1616">
        <v>0</v>
      </c>
      <c r="AS1616">
        <v>0</v>
      </c>
      <c r="AT1616">
        <v>0</v>
      </c>
      <c r="AU1616">
        <v>0</v>
      </c>
      <c r="AV1616">
        <v>0</v>
      </c>
      <c r="AW1616">
        <v>0</v>
      </c>
      <c r="AX1616">
        <v>0</v>
      </c>
      <c r="AY1616">
        <v>0</v>
      </c>
      <c r="AZ1616">
        <v>0</v>
      </c>
      <c r="BA1616">
        <v>0</v>
      </c>
      <c r="BB1616">
        <v>0</v>
      </c>
      <c r="BC1616">
        <v>0</v>
      </c>
      <c r="BD1616">
        <v>0</v>
      </c>
      <c r="BE1616">
        <v>0</v>
      </c>
      <c r="BF1616">
        <v>0</v>
      </c>
      <c r="BG1616">
        <v>0</v>
      </c>
      <c r="BH1616">
        <v>1</v>
      </c>
      <c r="BI1616">
        <v>1</v>
      </c>
      <c r="BJ1616">
        <v>0.2</v>
      </c>
      <c r="BK1616">
        <v>1</v>
      </c>
      <c r="BL1616">
        <v>76.06</v>
      </c>
      <c r="BM1616">
        <v>11.41</v>
      </c>
      <c r="BN1616">
        <v>87.47</v>
      </c>
      <c r="BO1616">
        <v>87.47</v>
      </c>
      <c r="BQ1616" t="s">
        <v>1290</v>
      </c>
      <c r="BR1616" t="s">
        <v>82</v>
      </c>
      <c r="BS1616" t="s">
        <v>500</v>
      </c>
      <c r="BV1616" t="s">
        <v>87</v>
      </c>
      <c r="BY1616">
        <v>1200</v>
      </c>
      <c r="CC1616" t="s">
        <v>129</v>
      </c>
      <c r="CD1616">
        <v>5201</v>
      </c>
      <c r="CE1616" t="s">
        <v>134</v>
      </c>
      <c r="CI1616">
        <v>1</v>
      </c>
      <c r="CJ1616" t="s">
        <v>500</v>
      </c>
      <c r="CK1616">
        <v>21</v>
      </c>
      <c r="CL1616" t="s">
        <v>87</v>
      </c>
    </row>
    <row r="1617" spans="1:90" x14ac:dyDescent="0.3">
      <c r="A1617" t="s">
        <v>72</v>
      </c>
      <c r="B1617" t="s">
        <v>73</v>
      </c>
      <c r="C1617" t="s">
        <v>74</v>
      </c>
      <c r="E1617" t="str">
        <f>"080069851262"</f>
        <v>080069851262</v>
      </c>
      <c r="F1617" s="3">
        <v>46002</v>
      </c>
      <c r="G1617">
        <v>202609</v>
      </c>
      <c r="H1617" t="s">
        <v>75</v>
      </c>
      <c r="I1617" t="s">
        <v>76</v>
      </c>
      <c r="J1617" t="s">
        <v>77</v>
      </c>
      <c r="K1617" t="s">
        <v>78</v>
      </c>
      <c r="L1617" t="s">
        <v>189</v>
      </c>
      <c r="M1617" t="s">
        <v>190</v>
      </c>
      <c r="N1617" t="s">
        <v>1905</v>
      </c>
      <c r="O1617" t="s">
        <v>89</v>
      </c>
      <c r="P1617" t="str">
        <f>"4170073161                    "</f>
        <v xml:space="preserve">4170073161                    </v>
      </c>
      <c r="Q1617">
        <v>0</v>
      </c>
      <c r="R1617">
        <v>0</v>
      </c>
      <c r="S1617">
        <v>0</v>
      </c>
      <c r="T1617">
        <v>0</v>
      </c>
      <c r="U1617">
        <v>0</v>
      </c>
      <c r="V1617">
        <v>0</v>
      </c>
      <c r="W1617">
        <v>0</v>
      </c>
      <c r="X1617">
        <v>0</v>
      </c>
      <c r="Y1617">
        <v>0</v>
      </c>
      <c r="Z1617">
        <v>0</v>
      </c>
      <c r="AA1617">
        <v>0</v>
      </c>
      <c r="AB1617">
        <v>0</v>
      </c>
      <c r="AC1617">
        <v>0</v>
      </c>
      <c r="AD1617">
        <v>0</v>
      </c>
      <c r="AE1617">
        <v>0</v>
      </c>
      <c r="AF1617">
        <v>0</v>
      </c>
      <c r="AG1617">
        <v>0</v>
      </c>
      <c r="AH1617">
        <v>0</v>
      </c>
      <c r="AI1617">
        <v>0</v>
      </c>
      <c r="AJ1617">
        <v>0</v>
      </c>
      <c r="AK1617">
        <v>0</v>
      </c>
      <c r="AL1617">
        <v>0</v>
      </c>
      <c r="AM1617">
        <v>0</v>
      </c>
      <c r="AN1617">
        <v>0</v>
      </c>
      <c r="AO1617">
        <v>0</v>
      </c>
      <c r="AP1617">
        <v>0</v>
      </c>
      <c r="AQ1617">
        <v>25.52</v>
      </c>
      <c r="AR1617">
        <v>0</v>
      </c>
      <c r="AS1617">
        <v>0</v>
      </c>
      <c r="AT1617">
        <v>0</v>
      </c>
      <c r="AU1617">
        <v>0</v>
      </c>
      <c r="AV1617">
        <v>0</v>
      </c>
      <c r="AW1617">
        <v>0</v>
      </c>
      <c r="AX1617">
        <v>0</v>
      </c>
      <c r="AY1617">
        <v>0</v>
      </c>
      <c r="AZ1617">
        <v>0</v>
      </c>
      <c r="BA1617">
        <v>0</v>
      </c>
      <c r="BB1617">
        <v>0</v>
      </c>
      <c r="BC1617">
        <v>0</v>
      </c>
      <c r="BD1617">
        <v>0</v>
      </c>
      <c r="BE1617">
        <v>0</v>
      </c>
      <c r="BF1617">
        <v>0</v>
      </c>
      <c r="BG1617">
        <v>0</v>
      </c>
      <c r="BH1617">
        <v>1</v>
      </c>
      <c r="BI1617">
        <v>1</v>
      </c>
      <c r="BJ1617">
        <v>0.2</v>
      </c>
      <c r="BK1617">
        <v>1</v>
      </c>
      <c r="BL1617">
        <v>76.06</v>
      </c>
      <c r="BM1617">
        <v>11.41</v>
      </c>
      <c r="BN1617">
        <v>87.47</v>
      </c>
      <c r="BO1617">
        <v>87.47</v>
      </c>
      <c r="BQ1617" t="s">
        <v>1906</v>
      </c>
      <c r="BR1617" t="s">
        <v>82</v>
      </c>
      <c r="BS1617" t="s">
        <v>500</v>
      </c>
      <c r="BV1617" t="s">
        <v>87</v>
      </c>
      <c r="BY1617">
        <v>1200</v>
      </c>
      <c r="CC1617" t="s">
        <v>190</v>
      </c>
      <c r="CD1617">
        <v>3200</v>
      </c>
      <c r="CE1617" t="s">
        <v>134</v>
      </c>
      <c r="CI1617">
        <v>1</v>
      </c>
      <c r="CJ1617" t="s">
        <v>500</v>
      </c>
      <c r="CK1617">
        <v>21</v>
      </c>
      <c r="CL1617" t="s">
        <v>87</v>
      </c>
    </row>
    <row r="1618" spans="1:90" x14ac:dyDescent="0.3">
      <c r="A1618" t="s">
        <v>72</v>
      </c>
      <c r="B1618" t="s">
        <v>73</v>
      </c>
      <c r="C1618" t="s">
        <v>74</v>
      </c>
      <c r="E1618" t="str">
        <f>"080069851280"</f>
        <v>080069851280</v>
      </c>
      <c r="F1618" s="3">
        <v>46002</v>
      </c>
      <c r="G1618">
        <v>202609</v>
      </c>
      <c r="H1618" t="s">
        <v>75</v>
      </c>
      <c r="I1618" t="s">
        <v>76</v>
      </c>
      <c r="J1618" t="s">
        <v>77</v>
      </c>
      <c r="K1618" t="s">
        <v>78</v>
      </c>
      <c r="L1618" t="s">
        <v>302</v>
      </c>
      <c r="M1618" t="s">
        <v>303</v>
      </c>
      <c r="N1618" t="s">
        <v>1135</v>
      </c>
      <c r="O1618" t="s">
        <v>89</v>
      </c>
      <c r="P1618" t="str">
        <f>"4170072996                    "</f>
        <v xml:space="preserve">4170072996                    </v>
      </c>
      <c r="Q1618">
        <v>0</v>
      </c>
      <c r="R1618">
        <v>0</v>
      </c>
      <c r="S1618">
        <v>0</v>
      </c>
      <c r="T1618">
        <v>0</v>
      </c>
      <c r="U1618">
        <v>0</v>
      </c>
      <c r="V1618">
        <v>0</v>
      </c>
      <c r="W1618">
        <v>0</v>
      </c>
      <c r="X1618">
        <v>0</v>
      </c>
      <c r="Y1618">
        <v>0</v>
      </c>
      <c r="Z1618">
        <v>0</v>
      </c>
      <c r="AA1618">
        <v>0</v>
      </c>
      <c r="AB1618">
        <v>0</v>
      </c>
      <c r="AC1618">
        <v>0</v>
      </c>
      <c r="AD1618">
        <v>0</v>
      </c>
      <c r="AE1618">
        <v>0</v>
      </c>
      <c r="AF1618">
        <v>0</v>
      </c>
      <c r="AG1618">
        <v>0</v>
      </c>
      <c r="AH1618">
        <v>0</v>
      </c>
      <c r="AI1618">
        <v>0</v>
      </c>
      <c r="AJ1618">
        <v>0</v>
      </c>
      <c r="AK1618">
        <v>0</v>
      </c>
      <c r="AL1618">
        <v>0</v>
      </c>
      <c r="AM1618">
        <v>0</v>
      </c>
      <c r="AN1618">
        <v>0</v>
      </c>
      <c r="AO1618">
        <v>0</v>
      </c>
      <c r="AP1618">
        <v>0</v>
      </c>
      <c r="AQ1618">
        <v>25.52</v>
      </c>
      <c r="AR1618">
        <v>0</v>
      </c>
      <c r="AS1618">
        <v>0</v>
      </c>
      <c r="AT1618">
        <v>0</v>
      </c>
      <c r="AU1618">
        <v>0</v>
      </c>
      <c r="AV1618">
        <v>0</v>
      </c>
      <c r="AW1618">
        <v>0</v>
      </c>
      <c r="AX1618">
        <v>0</v>
      </c>
      <c r="AY1618">
        <v>0</v>
      </c>
      <c r="AZ1618">
        <v>0</v>
      </c>
      <c r="BA1618">
        <v>0</v>
      </c>
      <c r="BB1618">
        <v>0</v>
      </c>
      <c r="BC1618">
        <v>0</v>
      </c>
      <c r="BD1618">
        <v>0</v>
      </c>
      <c r="BE1618">
        <v>0</v>
      </c>
      <c r="BF1618">
        <v>0</v>
      </c>
      <c r="BG1618">
        <v>0</v>
      </c>
      <c r="BH1618">
        <v>1</v>
      </c>
      <c r="BI1618">
        <v>1</v>
      </c>
      <c r="BJ1618">
        <v>0.2</v>
      </c>
      <c r="BK1618">
        <v>1</v>
      </c>
      <c r="BL1618">
        <v>76.06</v>
      </c>
      <c r="BM1618">
        <v>11.41</v>
      </c>
      <c r="BN1618">
        <v>87.47</v>
      </c>
      <c r="BO1618">
        <v>87.47</v>
      </c>
      <c r="BQ1618" t="s">
        <v>1136</v>
      </c>
      <c r="BR1618" t="s">
        <v>82</v>
      </c>
      <c r="BS1618" t="s">
        <v>500</v>
      </c>
      <c r="BV1618" t="s">
        <v>87</v>
      </c>
      <c r="BY1618">
        <v>1200</v>
      </c>
      <c r="CC1618" t="s">
        <v>303</v>
      </c>
      <c r="CD1618" s="5" t="s">
        <v>433</v>
      </c>
      <c r="CE1618" t="s">
        <v>134</v>
      </c>
      <c r="CI1618">
        <v>1</v>
      </c>
      <c r="CJ1618" t="s">
        <v>500</v>
      </c>
      <c r="CK1618">
        <v>21</v>
      </c>
      <c r="CL1618" t="s">
        <v>87</v>
      </c>
    </row>
    <row r="1619" spans="1:90" x14ac:dyDescent="0.3">
      <c r="A1619" t="s">
        <v>72</v>
      </c>
      <c r="B1619" t="s">
        <v>73</v>
      </c>
      <c r="C1619" t="s">
        <v>74</v>
      </c>
      <c r="E1619" t="str">
        <f>"080069851284"</f>
        <v>080069851284</v>
      </c>
      <c r="F1619" s="3">
        <v>46002</v>
      </c>
      <c r="G1619">
        <v>202609</v>
      </c>
      <c r="H1619" t="s">
        <v>75</v>
      </c>
      <c r="I1619" t="s">
        <v>76</v>
      </c>
      <c r="J1619" t="s">
        <v>77</v>
      </c>
      <c r="K1619" t="s">
        <v>78</v>
      </c>
      <c r="L1619" t="s">
        <v>208</v>
      </c>
      <c r="M1619" t="s">
        <v>209</v>
      </c>
      <c r="N1619" t="s">
        <v>258</v>
      </c>
      <c r="O1619" t="s">
        <v>89</v>
      </c>
      <c r="P1619" t="str">
        <f>"4170073144                    "</f>
        <v xml:space="preserve">4170073144                    </v>
      </c>
      <c r="Q1619">
        <v>0</v>
      </c>
      <c r="R1619">
        <v>0</v>
      </c>
      <c r="S1619">
        <v>0</v>
      </c>
      <c r="T1619">
        <v>0</v>
      </c>
      <c r="U1619">
        <v>0</v>
      </c>
      <c r="V1619">
        <v>0</v>
      </c>
      <c r="W1619">
        <v>0</v>
      </c>
      <c r="X1619">
        <v>0</v>
      </c>
      <c r="Y1619">
        <v>0</v>
      </c>
      <c r="Z1619">
        <v>0</v>
      </c>
      <c r="AA1619">
        <v>0</v>
      </c>
      <c r="AB1619">
        <v>0</v>
      </c>
      <c r="AC1619">
        <v>0</v>
      </c>
      <c r="AD1619">
        <v>0</v>
      </c>
      <c r="AE1619">
        <v>0</v>
      </c>
      <c r="AF1619">
        <v>0</v>
      </c>
      <c r="AG1619">
        <v>0</v>
      </c>
      <c r="AH1619">
        <v>0</v>
      </c>
      <c r="AI1619">
        <v>0</v>
      </c>
      <c r="AJ1619">
        <v>0</v>
      </c>
      <c r="AK1619">
        <v>0</v>
      </c>
      <c r="AL1619">
        <v>0</v>
      </c>
      <c r="AM1619">
        <v>0</v>
      </c>
      <c r="AN1619">
        <v>0</v>
      </c>
      <c r="AO1619">
        <v>0</v>
      </c>
      <c r="AP1619">
        <v>0</v>
      </c>
      <c r="AQ1619">
        <v>25.52</v>
      </c>
      <c r="AR1619">
        <v>0</v>
      </c>
      <c r="AS1619">
        <v>0</v>
      </c>
      <c r="AT1619">
        <v>0</v>
      </c>
      <c r="AU1619">
        <v>0</v>
      </c>
      <c r="AV1619">
        <v>0</v>
      </c>
      <c r="AW1619">
        <v>0</v>
      </c>
      <c r="AX1619">
        <v>0</v>
      </c>
      <c r="AY1619">
        <v>0</v>
      </c>
      <c r="AZ1619">
        <v>0</v>
      </c>
      <c r="BA1619">
        <v>0</v>
      </c>
      <c r="BB1619">
        <v>0</v>
      </c>
      <c r="BC1619">
        <v>0</v>
      </c>
      <c r="BD1619">
        <v>0</v>
      </c>
      <c r="BE1619">
        <v>0</v>
      </c>
      <c r="BF1619">
        <v>0</v>
      </c>
      <c r="BG1619">
        <v>0</v>
      </c>
      <c r="BH1619">
        <v>1</v>
      </c>
      <c r="BI1619">
        <v>2</v>
      </c>
      <c r="BJ1619">
        <v>0.9</v>
      </c>
      <c r="BK1619">
        <v>2</v>
      </c>
      <c r="BL1619">
        <v>76.06</v>
      </c>
      <c r="BM1619">
        <v>11.41</v>
      </c>
      <c r="BN1619">
        <v>87.47</v>
      </c>
      <c r="BO1619">
        <v>87.47</v>
      </c>
      <c r="BQ1619" t="s">
        <v>259</v>
      </c>
      <c r="BR1619" t="s">
        <v>82</v>
      </c>
      <c r="BS1619" t="s">
        <v>500</v>
      </c>
      <c r="BV1619" t="s">
        <v>87</v>
      </c>
      <c r="BY1619">
        <v>4275</v>
      </c>
      <c r="CC1619" t="s">
        <v>209</v>
      </c>
      <c r="CD1619" s="5" t="s">
        <v>213</v>
      </c>
      <c r="CE1619" t="s">
        <v>86</v>
      </c>
      <c r="CI1619">
        <v>1</v>
      </c>
      <c r="CJ1619" t="s">
        <v>500</v>
      </c>
      <c r="CK1619">
        <v>21</v>
      </c>
      <c r="CL1619" t="s">
        <v>87</v>
      </c>
    </row>
    <row r="1620" spans="1:90" x14ac:dyDescent="0.3">
      <c r="A1620" t="s">
        <v>72</v>
      </c>
      <c r="B1620" t="s">
        <v>73</v>
      </c>
      <c r="C1620" t="s">
        <v>74</v>
      </c>
      <c r="E1620" t="str">
        <f>"080069851298"</f>
        <v>080069851298</v>
      </c>
      <c r="F1620" s="3">
        <v>46002</v>
      </c>
      <c r="G1620">
        <v>202609</v>
      </c>
      <c r="H1620" t="s">
        <v>75</v>
      </c>
      <c r="I1620" t="s">
        <v>76</v>
      </c>
      <c r="J1620" t="s">
        <v>77</v>
      </c>
      <c r="K1620" t="s">
        <v>78</v>
      </c>
      <c r="L1620" t="s">
        <v>302</v>
      </c>
      <c r="M1620" t="s">
        <v>303</v>
      </c>
      <c r="N1620" t="s">
        <v>1457</v>
      </c>
      <c r="O1620" t="s">
        <v>89</v>
      </c>
      <c r="P1620" t="str">
        <f>"4170073007                    "</f>
        <v xml:space="preserve">4170073007                    </v>
      </c>
      <c r="Q1620">
        <v>0</v>
      </c>
      <c r="R1620">
        <v>0</v>
      </c>
      <c r="S1620">
        <v>0</v>
      </c>
      <c r="T1620">
        <v>0</v>
      </c>
      <c r="U1620">
        <v>0</v>
      </c>
      <c r="V1620">
        <v>0</v>
      </c>
      <c r="W1620">
        <v>0</v>
      </c>
      <c r="X1620">
        <v>0</v>
      </c>
      <c r="Y1620">
        <v>0</v>
      </c>
      <c r="Z1620">
        <v>0</v>
      </c>
      <c r="AA1620">
        <v>0</v>
      </c>
      <c r="AB1620">
        <v>0</v>
      </c>
      <c r="AC1620">
        <v>0</v>
      </c>
      <c r="AD1620">
        <v>0</v>
      </c>
      <c r="AE1620">
        <v>0</v>
      </c>
      <c r="AF1620">
        <v>0</v>
      </c>
      <c r="AG1620">
        <v>0</v>
      </c>
      <c r="AH1620">
        <v>0</v>
      </c>
      <c r="AI1620">
        <v>0</v>
      </c>
      <c r="AJ1620">
        <v>0</v>
      </c>
      <c r="AK1620">
        <v>0</v>
      </c>
      <c r="AL1620">
        <v>0</v>
      </c>
      <c r="AM1620">
        <v>0</v>
      </c>
      <c r="AN1620">
        <v>0</v>
      </c>
      <c r="AO1620">
        <v>0</v>
      </c>
      <c r="AP1620">
        <v>0</v>
      </c>
      <c r="AQ1620">
        <v>25.52</v>
      </c>
      <c r="AR1620">
        <v>0</v>
      </c>
      <c r="AS1620">
        <v>0</v>
      </c>
      <c r="AT1620">
        <v>0</v>
      </c>
      <c r="AU1620">
        <v>0</v>
      </c>
      <c r="AV1620">
        <v>0</v>
      </c>
      <c r="AW1620">
        <v>0</v>
      </c>
      <c r="AX1620">
        <v>0</v>
      </c>
      <c r="AY1620">
        <v>0</v>
      </c>
      <c r="AZ1620">
        <v>0</v>
      </c>
      <c r="BA1620">
        <v>0</v>
      </c>
      <c r="BB1620">
        <v>0</v>
      </c>
      <c r="BC1620">
        <v>0</v>
      </c>
      <c r="BD1620">
        <v>0</v>
      </c>
      <c r="BE1620">
        <v>0</v>
      </c>
      <c r="BF1620">
        <v>0</v>
      </c>
      <c r="BG1620">
        <v>0</v>
      </c>
      <c r="BH1620">
        <v>1</v>
      </c>
      <c r="BI1620">
        <v>1</v>
      </c>
      <c r="BJ1620">
        <v>0.2</v>
      </c>
      <c r="BK1620">
        <v>1</v>
      </c>
      <c r="BL1620">
        <v>76.06</v>
      </c>
      <c r="BM1620">
        <v>11.41</v>
      </c>
      <c r="BN1620">
        <v>87.47</v>
      </c>
      <c r="BO1620">
        <v>87.47</v>
      </c>
      <c r="BQ1620" t="s">
        <v>1458</v>
      </c>
      <c r="BR1620" t="s">
        <v>82</v>
      </c>
      <c r="BS1620" t="s">
        <v>500</v>
      </c>
      <c r="BV1620" t="s">
        <v>87</v>
      </c>
      <c r="BY1620">
        <v>1200</v>
      </c>
      <c r="CC1620" t="s">
        <v>303</v>
      </c>
      <c r="CD1620" s="5" t="s">
        <v>307</v>
      </c>
      <c r="CE1620" t="s">
        <v>134</v>
      </c>
      <c r="CI1620">
        <v>1</v>
      </c>
      <c r="CJ1620" t="s">
        <v>500</v>
      </c>
      <c r="CK1620">
        <v>21</v>
      </c>
      <c r="CL1620" t="s">
        <v>87</v>
      </c>
    </row>
    <row r="1621" spans="1:90" x14ac:dyDescent="0.3">
      <c r="A1621" t="s">
        <v>72</v>
      </c>
      <c r="B1621" t="s">
        <v>73</v>
      </c>
      <c r="C1621" t="s">
        <v>74</v>
      </c>
      <c r="E1621" t="str">
        <f>"080069851314"</f>
        <v>080069851314</v>
      </c>
      <c r="F1621" s="3">
        <v>46002</v>
      </c>
      <c r="G1621">
        <v>202609</v>
      </c>
      <c r="H1621" t="s">
        <v>75</v>
      </c>
      <c r="I1621" t="s">
        <v>76</v>
      </c>
      <c r="J1621" t="s">
        <v>77</v>
      </c>
      <c r="K1621" t="s">
        <v>78</v>
      </c>
      <c r="L1621" t="s">
        <v>562</v>
      </c>
      <c r="M1621" t="s">
        <v>563</v>
      </c>
      <c r="N1621" t="s">
        <v>564</v>
      </c>
      <c r="O1621" t="s">
        <v>80</v>
      </c>
      <c r="P1621" t="str">
        <f>"4170072975                    "</f>
        <v xml:space="preserve">4170072975                    </v>
      </c>
      <c r="Q1621">
        <v>0</v>
      </c>
      <c r="R1621">
        <v>0</v>
      </c>
      <c r="S1621">
        <v>0</v>
      </c>
      <c r="T1621">
        <v>0</v>
      </c>
      <c r="U1621">
        <v>0</v>
      </c>
      <c r="V1621">
        <v>0</v>
      </c>
      <c r="W1621">
        <v>0</v>
      </c>
      <c r="X1621">
        <v>0</v>
      </c>
      <c r="Y1621">
        <v>0</v>
      </c>
      <c r="Z1621">
        <v>0</v>
      </c>
      <c r="AA1621">
        <v>0</v>
      </c>
      <c r="AB1621">
        <v>0</v>
      </c>
      <c r="AC1621">
        <v>0</v>
      </c>
      <c r="AD1621">
        <v>0</v>
      </c>
      <c r="AE1621">
        <v>0</v>
      </c>
      <c r="AF1621">
        <v>0</v>
      </c>
      <c r="AG1621">
        <v>0</v>
      </c>
      <c r="AH1621">
        <v>0</v>
      </c>
      <c r="AI1621">
        <v>0</v>
      </c>
      <c r="AJ1621">
        <v>0</v>
      </c>
      <c r="AK1621">
        <v>0</v>
      </c>
      <c r="AL1621">
        <v>0</v>
      </c>
      <c r="AM1621">
        <v>0</v>
      </c>
      <c r="AN1621">
        <v>0</v>
      </c>
      <c r="AO1621">
        <v>0</v>
      </c>
      <c r="AP1621">
        <v>0</v>
      </c>
      <c r="AQ1621">
        <v>105.78</v>
      </c>
      <c r="AR1621">
        <v>0</v>
      </c>
      <c r="AS1621">
        <v>0</v>
      </c>
      <c r="AT1621">
        <v>0</v>
      </c>
      <c r="AU1621">
        <v>0</v>
      </c>
      <c r="AV1621">
        <v>0</v>
      </c>
      <c r="AW1621">
        <v>0</v>
      </c>
      <c r="AX1621">
        <v>0</v>
      </c>
      <c r="AY1621">
        <v>0</v>
      </c>
      <c r="AZ1621">
        <v>0</v>
      </c>
      <c r="BA1621">
        <v>0</v>
      </c>
      <c r="BB1621">
        <v>0</v>
      </c>
      <c r="BC1621">
        <v>0</v>
      </c>
      <c r="BD1621">
        <v>0</v>
      </c>
      <c r="BE1621">
        <v>0</v>
      </c>
      <c r="BF1621">
        <v>0</v>
      </c>
      <c r="BG1621">
        <v>0</v>
      </c>
      <c r="BH1621">
        <v>1</v>
      </c>
      <c r="BI1621">
        <v>51</v>
      </c>
      <c r="BJ1621">
        <v>42</v>
      </c>
      <c r="BK1621">
        <v>51</v>
      </c>
      <c r="BL1621">
        <v>321.33999999999997</v>
      </c>
      <c r="BM1621">
        <v>48.2</v>
      </c>
      <c r="BN1621">
        <v>369.54</v>
      </c>
      <c r="BO1621">
        <v>369.54</v>
      </c>
      <c r="BQ1621" t="s">
        <v>565</v>
      </c>
      <c r="BR1621" t="s">
        <v>82</v>
      </c>
      <c r="BS1621" t="s">
        <v>500</v>
      </c>
      <c r="BV1621" t="s">
        <v>87</v>
      </c>
      <c r="BY1621">
        <v>209840</v>
      </c>
      <c r="CC1621" t="s">
        <v>563</v>
      </c>
      <c r="CD1621">
        <v>1779</v>
      </c>
      <c r="CE1621" t="s">
        <v>790</v>
      </c>
      <c r="CI1621">
        <v>1</v>
      </c>
      <c r="CJ1621" t="s">
        <v>500</v>
      </c>
      <c r="CK1621">
        <v>44</v>
      </c>
      <c r="CL1621" t="s">
        <v>87</v>
      </c>
    </row>
    <row r="1622" spans="1:90" x14ac:dyDescent="0.3">
      <c r="A1622" t="s">
        <v>72</v>
      </c>
      <c r="B1622" t="s">
        <v>73</v>
      </c>
      <c r="C1622" t="s">
        <v>74</v>
      </c>
      <c r="E1622" t="str">
        <f>"080069851328"</f>
        <v>080069851328</v>
      </c>
      <c r="F1622" s="3">
        <v>46002</v>
      </c>
      <c r="G1622">
        <v>202609</v>
      </c>
      <c r="H1622" t="s">
        <v>75</v>
      </c>
      <c r="I1622" t="s">
        <v>76</v>
      </c>
      <c r="J1622" t="s">
        <v>77</v>
      </c>
      <c r="K1622" t="s">
        <v>78</v>
      </c>
      <c r="L1622" t="s">
        <v>189</v>
      </c>
      <c r="M1622" t="s">
        <v>190</v>
      </c>
      <c r="N1622" t="s">
        <v>1053</v>
      </c>
      <c r="O1622" t="s">
        <v>89</v>
      </c>
      <c r="P1622" t="str">
        <f>"4170073164                    "</f>
        <v xml:space="preserve">4170073164                    </v>
      </c>
      <c r="Q1622">
        <v>0</v>
      </c>
      <c r="R1622">
        <v>0</v>
      </c>
      <c r="S1622">
        <v>0</v>
      </c>
      <c r="T1622">
        <v>0</v>
      </c>
      <c r="U1622">
        <v>0</v>
      </c>
      <c r="V1622">
        <v>0</v>
      </c>
      <c r="W1622">
        <v>0</v>
      </c>
      <c r="X1622">
        <v>0</v>
      </c>
      <c r="Y1622">
        <v>0</v>
      </c>
      <c r="Z1622">
        <v>0</v>
      </c>
      <c r="AA1622">
        <v>0</v>
      </c>
      <c r="AB1622">
        <v>0</v>
      </c>
      <c r="AC1622">
        <v>0</v>
      </c>
      <c r="AD1622">
        <v>0</v>
      </c>
      <c r="AE1622">
        <v>0</v>
      </c>
      <c r="AF1622">
        <v>0</v>
      </c>
      <c r="AG1622">
        <v>0</v>
      </c>
      <c r="AH1622">
        <v>0</v>
      </c>
      <c r="AI1622">
        <v>0</v>
      </c>
      <c r="AJ1622">
        <v>0</v>
      </c>
      <c r="AK1622">
        <v>0</v>
      </c>
      <c r="AL1622">
        <v>0</v>
      </c>
      <c r="AM1622">
        <v>0</v>
      </c>
      <c r="AN1622">
        <v>0</v>
      </c>
      <c r="AO1622">
        <v>0</v>
      </c>
      <c r="AP1622">
        <v>0</v>
      </c>
      <c r="AQ1622">
        <v>38.28</v>
      </c>
      <c r="AR1622">
        <v>0</v>
      </c>
      <c r="AS1622">
        <v>0</v>
      </c>
      <c r="AT1622">
        <v>0</v>
      </c>
      <c r="AU1622">
        <v>0</v>
      </c>
      <c r="AV1622">
        <v>0</v>
      </c>
      <c r="AW1622">
        <v>0</v>
      </c>
      <c r="AX1622">
        <v>0</v>
      </c>
      <c r="AY1622">
        <v>0</v>
      </c>
      <c r="AZ1622">
        <v>0</v>
      </c>
      <c r="BA1622">
        <v>0</v>
      </c>
      <c r="BB1622">
        <v>0</v>
      </c>
      <c r="BC1622">
        <v>0</v>
      </c>
      <c r="BD1622">
        <v>0</v>
      </c>
      <c r="BE1622">
        <v>0</v>
      </c>
      <c r="BF1622">
        <v>0</v>
      </c>
      <c r="BG1622">
        <v>0</v>
      </c>
      <c r="BH1622">
        <v>1</v>
      </c>
      <c r="BI1622">
        <v>3</v>
      </c>
      <c r="BJ1622">
        <v>1.9</v>
      </c>
      <c r="BK1622">
        <v>3</v>
      </c>
      <c r="BL1622">
        <v>114.08</v>
      </c>
      <c r="BM1622">
        <v>17.11</v>
      </c>
      <c r="BN1622">
        <v>131.19</v>
      </c>
      <c r="BO1622">
        <v>131.19</v>
      </c>
      <c r="BQ1622" t="s">
        <v>1054</v>
      </c>
      <c r="BR1622" t="s">
        <v>82</v>
      </c>
      <c r="BS1622" t="s">
        <v>500</v>
      </c>
      <c r="BV1622" t="s">
        <v>87</v>
      </c>
      <c r="BY1622">
        <v>9600</v>
      </c>
      <c r="CC1622" t="s">
        <v>190</v>
      </c>
      <c r="CD1622">
        <v>3201</v>
      </c>
      <c r="CE1622" t="s">
        <v>86</v>
      </c>
      <c r="CI1622">
        <v>1</v>
      </c>
      <c r="CJ1622" t="s">
        <v>500</v>
      </c>
      <c r="CK1622">
        <v>21</v>
      </c>
      <c r="CL1622" t="s">
        <v>87</v>
      </c>
    </row>
    <row r="1623" spans="1:90" x14ac:dyDescent="0.3">
      <c r="A1623" t="s">
        <v>72</v>
      </c>
      <c r="B1623" t="s">
        <v>73</v>
      </c>
      <c r="C1623" t="s">
        <v>74</v>
      </c>
      <c r="E1623" t="str">
        <f>"080069851333"</f>
        <v>080069851333</v>
      </c>
      <c r="F1623" s="3">
        <v>46002</v>
      </c>
      <c r="G1623">
        <v>202609</v>
      </c>
      <c r="H1623" t="s">
        <v>75</v>
      </c>
      <c r="I1623" t="s">
        <v>76</v>
      </c>
      <c r="J1623" t="s">
        <v>77</v>
      </c>
      <c r="K1623" t="s">
        <v>78</v>
      </c>
      <c r="L1623" t="s">
        <v>302</v>
      </c>
      <c r="M1623" t="s">
        <v>303</v>
      </c>
      <c r="N1623" t="s">
        <v>2123</v>
      </c>
      <c r="O1623" t="s">
        <v>89</v>
      </c>
      <c r="P1623" t="str">
        <f>"4170073013                    "</f>
        <v xml:space="preserve">4170073013                    </v>
      </c>
      <c r="Q1623">
        <v>0</v>
      </c>
      <c r="R1623">
        <v>0</v>
      </c>
      <c r="S1623">
        <v>0</v>
      </c>
      <c r="T1623">
        <v>0</v>
      </c>
      <c r="U1623">
        <v>0</v>
      </c>
      <c r="V1623">
        <v>0</v>
      </c>
      <c r="W1623">
        <v>0</v>
      </c>
      <c r="X1623">
        <v>0</v>
      </c>
      <c r="Y1623">
        <v>0</v>
      </c>
      <c r="Z1623">
        <v>0</v>
      </c>
      <c r="AA1623">
        <v>0</v>
      </c>
      <c r="AB1623">
        <v>0</v>
      </c>
      <c r="AC1623">
        <v>0</v>
      </c>
      <c r="AD1623">
        <v>0</v>
      </c>
      <c r="AE1623">
        <v>0</v>
      </c>
      <c r="AF1623">
        <v>0</v>
      </c>
      <c r="AG1623">
        <v>0</v>
      </c>
      <c r="AH1623">
        <v>0</v>
      </c>
      <c r="AI1623">
        <v>0</v>
      </c>
      <c r="AJ1623">
        <v>0</v>
      </c>
      <c r="AK1623">
        <v>0</v>
      </c>
      <c r="AL1623">
        <v>0</v>
      </c>
      <c r="AM1623">
        <v>0</v>
      </c>
      <c r="AN1623">
        <v>0</v>
      </c>
      <c r="AO1623">
        <v>0</v>
      </c>
      <c r="AP1623">
        <v>0</v>
      </c>
      <c r="AQ1623">
        <v>25.52</v>
      </c>
      <c r="AR1623">
        <v>0</v>
      </c>
      <c r="AS1623">
        <v>0</v>
      </c>
      <c r="AT1623">
        <v>0</v>
      </c>
      <c r="AU1623">
        <v>0</v>
      </c>
      <c r="AV1623">
        <v>0</v>
      </c>
      <c r="AW1623">
        <v>0</v>
      </c>
      <c r="AX1623">
        <v>0</v>
      </c>
      <c r="AY1623">
        <v>0</v>
      </c>
      <c r="AZ1623">
        <v>0</v>
      </c>
      <c r="BA1623">
        <v>0</v>
      </c>
      <c r="BB1623">
        <v>0</v>
      </c>
      <c r="BC1623">
        <v>0</v>
      </c>
      <c r="BD1623">
        <v>0</v>
      </c>
      <c r="BE1623">
        <v>0</v>
      </c>
      <c r="BF1623">
        <v>0</v>
      </c>
      <c r="BG1623">
        <v>0</v>
      </c>
      <c r="BH1623">
        <v>1</v>
      </c>
      <c r="BI1623">
        <v>1</v>
      </c>
      <c r="BJ1623">
        <v>0.2</v>
      </c>
      <c r="BK1623">
        <v>1</v>
      </c>
      <c r="BL1623">
        <v>76.06</v>
      </c>
      <c r="BM1623">
        <v>11.41</v>
      </c>
      <c r="BN1623">
        <v>87.47</v>
      </c>
      <c r="BO1623">
        <v>87.47</v>
      </c>
      <c r="BQ1623" t="s">
        <v>2124</v>
      </c>
      <c r="BR1623" t="s">
        <v>82</v>
      </c>
      <c r="BS1623" t="s">
        <v>500</v>
      </c>
      <c r="BV1623" t="s">
        <v>87</v>
      </c>
      <c r="BY1623">
        <v>1200</v>
      </c>
      <c r="CC1623" t="s">
        <v>303</v>
      </c>
      <c r="CD1623" s="5" t="s">
        <v>836</v>
      </c>
      <c r="CE1623" t="s">
        <v>134</v>
      </c>
      <c r="CI1623">
        <v>1</v>
      </c>
      <c r="CJ1623" t="s">
        <v>500</v>
      </c>
      <c r="CK1623">
        <v>21</v>
      </c>
      <c r="CL1623" t="s">
        <v>87</v>
      </c>
    </row>
    <row r="1624" spans="1:90" x14ac:dyDescent="0.3">
      <c r="A1624" t="s">
        <v>72</v>
      </c>
      <c r="B1624" t="s">
        <v>73</v>
      </c>
      <c r="C1624" t="s">
        <v>74</v>
      </c>
      <c r="E1624" t="str">
        <f>"080069851388"</f>
        <v>080069851388</v>
      </c>
      <c r="F1624" s="3">
        <v>46002</v>
      </c>
      <c r="G1624">
        <v>202609</v>
      </c>
      <c r="H1624" t="s">
        <v>75</v>
      </c>
      <c r="I1624" t="s">
        <v>76</v>
      </c>
      <c r="J1624" t="s">
        <v>77</v>
      </c>
      <c r="K1624" t="s">
        <v>78</v>
      </c>
      <c r="L1624" t="s">
        <v>302</v>
      </c>
      <c r="M1624" t="s">
        <v>303</v>
      </c>
      <c r="N1624" t="s">
        <v>1457</v>
      </c>
      <c r="O1624" t="s">
        <v>89</v>
      </c>
      <c r="P1624" t="str">
        <f>"4170073162                    "</f>
        <v xml:space="preserve">4170073162                    </v>
      </c>
      <c r="Q1624">
        <v>0</v>
      </c>
      <c r="R1624">
        <v>0</v>
      </c>
      <c r="S1624">
        <v>0</v>
      </c>
      <c r="T1624">
        <v>0</v>
      </c>
      <c r="U1624">
        <v>0</v>
      </c>
      <c r="V1624">
        <v>0</v>
      </c>
      <c r="W1624">
        <v>0</v>
      </c>
      <c r="X1624">
        <v>0</v>
      </c>
      <c r="Y1624">
        <v>0</v>
      </c>
      <c r="Z1624">
        <v>0</v>
      </c>
      <c r="AA1624">
        <v>0</v>
      </c>
      <c r="AB1624">
        <v>0</v>
      </c>
      <c r="AC1624">
        <v>0</v>
      </c>
      <c r="AD1624">
        <v>0</v>
      </c>
      <c r="AE1624">
        <v>0</v>
      </c>
      <c r="AF1624">
        <v>0</v>
      </c>
      <c r="AG1624">
        <v>0</v>
      </c>
      <c r="AH1624">
        <v>0</v>
      </c>
      <c r="AI1624">
        <v>0</v>
      </c>
      <c r="AJ1624">
        <v>0</v>
      </c>
      <c r="AK1624">
        <v>0</v>
      </c>
      <c r="AL1624">
        <v>0</v>
      </c>
      <c r="AM1624">
        <v>0</v>
      </c>
      <c r="AN1624">
        <v>0</v>
      </c>
      <c r="AO1624">
        <v>0</v>
      </c>
      <c r="AP1624">
        <v>0</v>
      </c>
      <c r="AQ1624">
        <v>25.52</v>
      </c>
      <c r="AR1624">
        <v>0</v>
      </c>
      <c r="AS1624">
        <v>0</v>
      </c>
      <c r="AT1624">
        <v>0</v>
      </c>
      <c r="AU1624">
        <v>0</v>
      </c>
      <c r="AV1624">
        <v>0</v>
      </c>
      <c r="AW1624">
        <v>0</v>
      </c>
      <c r="AX1624">
        <v>0</v>
      </c>
      <c r="AY1624">
        <v>0</v>
      </c>
      <c r="AZ1624">
        <v>0</v>
      </c>
      <c r="BA1624">
        <v>0</v>
      </c>
      <c r="BB1624">
        <v>0</v>
      </c>
      <c r="BC1624">
        <v>0</v>
      </c>
      <c r="BD1624">
        <v>0</v>
      </c>
      <c r="BE1624">
        <v>0</v>
      </c>
      <c r="BF1624">
        <v>0</v>
      </c>
      <c r="BG1624">
        <v>0</v>
      </c>
      <c r="BH1624">
        <v>1</v>
      </c>
      <c r="BI1624">
        <v>2</v>
      </c>
      <c r="BJ1624">
        <v>1.9</v>
      </c>
      <c r="BK1624">
        <v>2</v>
      </c>
      <c r="BL1624">
        <v>76.06</v>
      </c>
      <c r="BM1624">
        <v>11.41</v>
      </c>
      <c r="BN1624">
        <v>87.47</v>
      </c>
      <c r="BO1624">
        <v>87.47</v>
      </c>
      <c r="BQ1624" t="s">
        <v>1458</v>
      </c>
      <c r="BR1624" t="s">
        <v>82</v>
      </c>
      <c r="BS1624" t="s">
        <v>500</v>
      </c>
      <c r="BV1624" t="s">
        <v>87</v>
      </c>
      <c r="BY1624">
        <v>9600</v>
      </c>
      <c r="CC1624" t="s">
        <v>303</v>
      </c>
      <c r="CD1624" s="5" t="s">
        <v>307</v>
      </c>
      <c r="CE1624" t="s">
        <v>86</v>
      </c>
      <c r="CI1624">
        <v>1</v>
      </c>
      <c r="CJ1624" t="s">
        <v>500</v>
      </c>
      <c r="CK1624">
        <v>21</v>
      </c>
      <c r="CL1624" t="s">
        <v>87</v>
      </c>
    </row>
    <row r="1625" spans="1:90" x14ac:dyDescent="0.3">
      <c r="A1625" t="s">
        <v>72</v>
      </c>
      <c r="B1625" t="s">
        <v>73</v>
      </c>
      <c r="C1625" t="s">
        <v>74</v>
      </c>
      <c r="E1625" t="str">
        <f>"080069851394"</f>
        <v>080069851394</v>
      </c>
      <c r="F1625" s="3">
        <v>46002</v>
      </c>
      <c r="G1625">
        <v>202609</v>
      </c>
      <c r="H1625" t="s">
        <v>75</v>
      </c>
      <c r="I1625" t="s">
        <v>76</v>
      </c>
      <c r="J1625" t="s">
        <v>77</v>
      </c>
      <c r="K1625" t="s">
        <v>78</v>
      </c>
      <c r="L1625" t="s">
        <v>295</v>
      </c>
      <c r="M1625" t="s">
        <v>296</v>
      </c>
      <c r="N1625" t="s">
        <v>1865</v>
      </c>
      <c r="O1625" t="s">
        <v>89</v>
      </c>
      <c r="P1625" t="str">
        <f>"4170073159                    "</f>
        <v xml:space="preserve">4170073159                    </v>
      </c>
      <c r="Q1625">
        <v>0</v>
      </c>
      <c r="R1625">
        <v>0</v>
      </c>
      <c r="S1625">
        <v>0</v>
      </c>
      <c r="T1625">
        <v>0</v>
      </c>
      <c r="U1625">
        <v>0</v>
      </c>
      <c r="V1625">
        <v>0</v>
      </c>
      <c r="W1625">
        <v>0</v>
      </c>
      <c r="X1625">
        <v>0</v>
      </c>
      <c r="Y1625">
        <v>0</v>
      </c>
      <c r="Z1625">
        <v>0</v>
      </c>
      <c r="AA1625">
        <v>0</v>
      </c>
      <c r="AB1625">
        <v>0</v>
      </c>
      <c r="AC1625">
        <v>0</v>
      </c>
      <c r="AD1625">
        <v>0</v>
      </c>
      <c r="AE1625">
        <v>0</v>
      </c>
      <c r="AF1625">
        <v>0</v>
      </c>
      <c r="AG1625">
        <v>0</v>
      </c>
      <c r="AH1625">
        <v>0</v>
      </c>
      <c r="AI1625">
        <v>0</v>
      </c>
      <c r="AJ1625">
        <v>0</v>
      </c>
      <c r="AK1625">
        <v>0</v>
      </c>
      <c r="AL1625">
        <v>0</v>
      </c>
      <c r="AM1625">
        <v>0</v>
      </c>
      <c r="AN1625">
        <v>0</v>
      </c>
      <c r="AO1625">
        <v>0</v>
      </c>
      <c r="AP1625">
        <v>0</v>
      </c>
      <c r="AQ1625">
        <v>19.940000000000001</v>
      </c>
      <c r="AR1625">
        <v>0</v>
      </c>
      <c r="AS1625">
        <v>0</v>
      </c>
      <c r="AT1625">
        <v>0</v>
      </c>
      <c r="AU1625">
        <v>0</v>
      </c>
      <c r="AV1625">
        <v>0</v>
      </c>
      <c r="AW1625">
        <v>0</v>
      </c>
      <c r="AX1625">
        <v>0</v>
      </c>
      <c r="AY1625">
        <v>0</v>
      </c>
      <c r="AZ1625">
        <v>0</v>
      </c>
      <c r="BA1625">
        <v>0</v>
      </c>
      <c r="BB1625">
        <v>0</v>
      </c>
      <c r="BC1625">
        <v>0</v>
      </c>
      <c r="BD1625">
        <v>0</v>
      </c>
      <c r="BE1625">
        <v>0</v>
      </c>
      <c r="BF1625">
        <v>0</v>
      </c>
      <c r="BG1625">
        <v>0</v>
      </c>
      <c r="BH1625">
        <v>2</v>
      </c>
      <c r="BI1625">
        <v>6</v>
      </c>
      <c r="BJ1625">
        <v>4.7</v>
      </c>
      <c r="BK1625">
        <v>6</v>
      </c>
      <c r="BL1625">
        <v>59.42</v>
      </c>
      <c r="BM1625">
        <v>8.91</v>
      </c>
      <c r="BN1625">
        <v>68.33</v>
      </c>
      <c r="BO1625">
        <v>68.33</v>
      </c>
      <c r="BQ1625" t="s">
        <v>1866</v>
      </c>
      <c r="BR1625" t="s">
        <v>82</v>
      </c>
      <c r="BS1625" t="s">
        <v>500</v>
      </c>
      <c r="BV1625" t="s">
        <v>87</v>
      </c>
      <c r="BY1625">
        <v>23520</v>
      </c>
      <c r="CC1625" t="s">
        <v>296</v>
      </c>
      <c r="CD1625">
        <v>1500</v>
      </c>
      <c r="CE1625" t="s">
        <v>86</v>
      </c>
      <c r="CI1625">
        <v>1</v>
      </c>
      <c r="CJ1625" t="s">
        <v>500</v>
      </c>
      <c r="CK1625">
        <v>22</v>
      </c>
      <c r="CL1625" t="s">
        <v>87</v>
      </c>
    </row>
    <row r="1626" spans="1:90" x14ac:dyDescent="0.3">
      <c r="A1626" t="s">
        <v>72</v>
      </c>
      <c r="B1626" t="s">
        <v>73</v>
      </c>
      <c r="C1626" t="s">
        <v>74</v>
      </c>
      <c r="E1626" t="str">
        <f>"080069851417"</f>
        <v>080069851417</v>
      </c>
      <c r="F1626" s="3">
        <v>46002</v>
      </c>
      <c r="G1626">
        <v>202609</v>
      </c>
      <c r="H1626" t="s">
        <v>75</v>
      </c>
      <c r="I1626" t="s">
        <v>76</v>
      </c>
      <c r="J1626" t="s">
        <v>77</v>
      </c>
      <c r="K1626" t="s">
        <v>78</v>
      </c>
      <c r="L1626" t="s">
        <v>458</v>
      </c>
      <c r="M1626" t="s">
        <v>459</v>
      </c>
      <c r="N1626" t="s">
        <v>460</v>
      </c>
      <c r="O1626" t="s">
        <v>89</v>
      </c>
      <c r="P1626" t="str">
        <f>"4170073106                    "</f>
        <v xml:space="preserve">4170073106                    </v>
      </c>
      <c r="Q1626">
        <v>0</v>
      </c>
      <c r="R1626">
        <v>0</v>
      </c>
      <c r="S1626">
        <v>0</v>
      </c>
      <c r="T1626">
        <v>0</v>
      </c>
      <c r="U1626">
        <v>0</v>
      </c>
      <c r="V1626">
        <v>0</v>
      </c>
      <c r="W1626">
        <v>0</v>
      </c>
      <c r="X1626">
        <v>0</v>
      </c>
      <c r="Y1626">
        <v>0</v>
      </c>
      <c r="Z1626">
        <v>0</v>
      </c>
      <c r="AA1626">
        <v>0</v>
      </c>
      <c r="AB1626">
        <v>0</v>
      </c>
      <c r="AC1626">
        <v>0</v>
      </c>
      <c r="AD1626">
        <v>0</v>
      </c>
      <c r="AE1626">
        <v>0</v>
      </c>
      <c r="AF1626">
        <v>0</v>
      </c>
      <c r="AG1626">
        <v>0</v>
      </c>
      <c r="AH1626">
        <v>0</v>
      </c>
      <c r="AI1626">
        <v>0</v>
      </c>
      <c r="AJ1626">
        <v>0</v>
      </c>
      <c r="AK1626">
        <v>0</v>
      </c>
      <c r="AL1626">
        <v>0</v>
      </c>
      <c r="AM1626">
        <v>0</v>
      </c>
      <c r="AN1626">
        <v>0</v>
      </c>
      <c r="AO1626">
        <v>0</v>
      </c>
      <c r="AP1626">
        <v>0</v>
      </c>
      <c r="AQ1626">
        <v>183.44</v>
      </c>
      <c r="AR1626">
        <v>0</v>
      </c>
      <c r="AS1626">
        <v>0</v>
      </c>
      <c r="AT1626">
        <v>0</v>
      </c>
      <c r="AU1626">
        <v>0</v>
      </c>
      <c r="AV1626">
        <v>0</v>
      </c>
      <c r="AW1626">
        <v>0</v>
      </c>
      <c r="AX1626">
        <v>0</v>
      </c>
      <c r="AY1626">
        <v>0</v>
      </c>
      <c r="AZ1626">
        <v>0</v>
      </c>
      <c r="BA1626">
        <v>0</v>
      </c>
      <c r="BB1626">
        <v>0</v>
      </c>
      <c r="BC1626">
        <v>0</v>
      </c>
      <c r="BD1626">
        <v>0</v>
      </c>
      <c r="BE1626">
        <v>0</v>
      </c>
      <c r="BF1626">
        <v>0</v>
      </c>
      <c r="BG1626">
        <v>0</v>
      </c>
      <c r="BH1626">
        <v>1</v>
      </c>
      <c r="BI1626">
        <v>8</v>
      </c>
      <c r="BJ1626">
        <v>7.1</v>
      </c>
      <c r="BK1626">
        <v>8</v>
      </c>
      <c r="BL1626">
        <v>546.69000000000005</v>
      </c>
      <c r="BM1626">
        <v>82</v>
      </c>
      <c r="BN1626">
        <v>628.69000000000005</v>
      </c>
      <c r="BO1626">
        <v>628.69000000000005</v>
      </c>
      <c r="BQ1626" t="s">
        <v>461</v>
      </c>
      <c r="BR1626" t="s">
        <v>82</v>
      </c>
      <c r="BS1626" t="s">
        <v>500</v>
      </c>
      <c r="BV1626" t="s">
        <v>87</v>
      </c>
      <c r="BY1626">
        <v>35264</v>
      </c>
      <c r="CC1626" t="s">
        <v>459</v>
      </c>
      <c r="CD1626">
        <v>7130</v>
      </c>
      <c r="CE1626" t="s">
        <v>86</v>
      </c>
      <c r="CI1626">
        <v>1</v>
      </c>
      <c r="CJ1626" t="s">
        <v>500</v>
      </c>
      <c r="CK1626">
        <v>23</v>
      </c>
      <c r="CL1626" t="s">
        <v>87</v>
      </c>
    </row>
    <row r="1627" spans="1:90" x14ac:dyDescent="0.3">
      <c r="A1627" t="s">
        <v>72</v>
      </c>
      <c r="B1627" t="s">
        <v>73</v>
      </c>
      <c r="C1627" t="s">
        <v>74</v>
      </c>
      <c r="E1627" t="str">
        <f>"080069851623"</f>
        <v>080069851623</v>
      </c>
      <c r="F1627" s="3">
        <v>46002</v>
      </c>
      <c r="G1627">
        <v>202609</v>
      </c>
      <c r="H1627" t="s">
        <v>75</v>
      </c>
      <c r="I1627" t="s">
        <v>76</v>
      </c>
      <c r="J1627" t="s">
        <v>77</v>
      </c>
      <c r="K1627" t="s">
        <v>78</v>
      </c>
      <c r="L1627" t="s">
        <v>100</v>
      </c>
      <c r="M1627" t="s">
        <v>101</v>
      </c>
      <c r="N1627" t="s">
        <v>498</v>
      </c>
      <c r="O1627" t="s">
        <v>89</v>
      </c>
      <c r="P1627" t="str">
        <f>"4170073133                    "</f>
        <v xml:space="preserve">4170073133                    </v>
      </c>
      <c r="Q1627">
        <v>0</v>
      </c>
      <c r="R1627">
        <v>0</v>
      </c>
      <c r="S1627">
        <v>0</v>
      </c>
      <c r="T1627">
        <v>0</v>
      </c>
      <c r="U1627">
        <v>0</v>
      </c>
      <c r="V1627">
        <v>0</v>
      </c>
      <c r="W1627">
        <v>0</v>
      </c>
      <c r="X1627">
        <v>0</v>
      </c>
      <c r="Y1627">
        <v>0</v>
      </c>
      <c r="Z1627">
        <v>0</v>
      </c>
      <c r="AA1627">
        <v>0</v>
      </c>
      <c r="AB1627">
        <v>0</v>
      </c>
      <c r="AC1627">
        <v>0</v>
      </c>
      <c r="AD1627">
        <v>0</v>
      </c>
      <c r="AE1627">
        <v>0</v>
      </c>
      <c r="AF1627">
        <v>0</v>
      </c>
      <c r="AG1627">
        <v>0</v>
      </c>
      <c r="AH1627">
        <v>0</v>
      </c>
      <c r="AI1627">
        <v>0</v>
      </c>
      <c r="AJ1627">
        <v>0</v>
      </c>
      <c r="AK1627">
        <v>0</v>
      </c>
      <c r="AL1627">
        <v>0</v>
      </c>
      <c r="AM1627">
        <v>0</v>
      </c>
      <c r="AN1627">
        <v>0</v>
      </c>
      <c r="AO1627">
        <v>0</v>
      </c>
      <c r="AP1627">
        <v>0</v>
      </c>
      <c r="AQ1627">
        <v>25.52</v>
      </c>
      <c r="AR1627">
        <v>0</v>
      </c>
      <c r="AS1627">
        <v>0</v>
      </c>
      <c r="AT1627">
        <v>0</v>
      </c>
      <c r="AU1627">
        <v>0</v>
      </c>
      <c r="AV1627">
        <v>0</v>
      </c>
      <c r="AW1627">
        <v>0</v>
      </c>
      <c r="AX1627">
        <v>0</v>
      </c>
      <c r="AY1627">
        <v>0</v>
      </c>
      <c r="AZ1627">
        <v>0</v>
      </c>
      <c r="BA1627">
        <v>0</v>
      </c>
      <c r="BB1627">
        <v>0</v>
      </c>
      <c r="BC1627">
        <v>0</v>
      </c>
      <c r="BD1627">
        <v>0</v>
      </c>
      <c r="BE1627">
        <v>0</v>
      </c>
      <c r="BF1627">
        <v>0</v>
      </c>
      <c r="BG1627">
        <v>0</v>
      </c>
      <c r="BH1627">
        <v>1</v>
      </c>
      <c r="BI1627">
        <v>1</v>
      </c>
      <c r="BJ1627">
        <v>0.2</v>
      </c>
      <c r="BK1627">
        <v>1</v>
      </c>
      <c r="BL1627">
        <v>76.06</v>
      </c>
      <c r="BM1627">
        <v>11.41</v>
      </c>
      <c r="BN1627">
        <v>87.47</v>
      </c>
      <c r="BO1627">
        <v>87.47</v>
      </c>
      <c r="BQ1627" t="s">
        <v>499</v>
      </c>
      <c r="BR1627" t="s">
        <v>82</v>
      </c>
      <c r="BS1627" t="s">
        <v>500</v>
      </c>
      <c r="BV1627" t="s">
        <v>87</v>
      </c>
      <c r="BY1627">
        <v>1200</v>
      </c>
      <c r="CC1627" t="s">
        <v>101</v>
      </c>
      <c r="CD1627">
        <v>4052</v>
      </c>
      <c r="CE1627" t="s">
        <v>134</v>
      </c>
      <c r="CI1627">
        <v>1</v>
      </c>
      <c r="CJ1627" t="s">
        <v>500</v>
      </c>
      <c r="CK1627">
        <v>21</v>
      </c>
      <c r="CL1627" t="s">
        <v>87</v>
      </c>
    </row>
    <row r="1628" spans="1:90" x14ac:dyDescent="0.3">
      <c r="A1628" t="s">
        <v>72</v>
      </c>
      <c r="B1628" t="s">
        <v>73</v>
      </c>
      <c r="C1628" t="s">
        <v>74</v>
      </c>
      <c r="E1628" t="str">
        <f>"080069851642"</f>
        <v>080069851642</v>
      </c>
      <c r="F1628" s="3">
        <v>46002</v>
      </c>
      <c r="G1628">
        <v>202609</v>
      </c>
      <c r="H1628" t="s">
        <v>75</v>
      </c>
      <c r="I1628" t="s">
        <v>76</v>
      </c>
      <c r="J1628" t="s">
        <v>77</v>
      </c>
      <c r="K1628" t="s">
        <v>78</v>
      </c>
      <c r="L1628" t="s">
        <v>128</v>
      </c>
      <c r="M1628" t="s">
        <v>129</v>
      </c>
      <c r="N1628" t="s">
        <v>828</v>
      </c>
      <c r="O1628" t="s">
        <v>89</v>
      </c>
      <c r="P1628" t="str">
        <f>"4170073143                    "</f>
        <v xml:space="preserve">4170073143                    </v>
      </c>
      <c r="Q1628">
        <v>0</v>
      </c>
      <c r="R1628">
        <v>0</v>
      </c>
      <c r="S1628">
        <v>0</v>
      </c>
      <c r="T1628">
        <v>0</v>
      </c>
      <c r="U1628">
        <v>0</v>
      </c>
      <c r="V1628">
        <v>0</v>
      </c>
      <c r="W1628">
        <v>0</v>
      </c>
      <c r="X1628">
        <v>0</v>
      </c>
      <c r="Y1628">
        <v>0</v>
      </c>
      <c r="Z1628">
        <v>0</v>
      </c>
      <c r="AA1628">
        <v>0</v>
      </c>
      <c r="AB1628">
        <v>0</v>
      </c>
      <c r="AC1628">
        <v>0</v>
      </c>
      <c r="AD1628">
        <v>0</v>
      </c>
      <c r="AE1628">
        <v>0</v>
      </c>
      <c r="AF1628">
        <v>0</v>
      </c>
      <c r="AG1628">
        <v>0</v>
      </c>
      <c r="AH1628">
        <v>0</v>
      </c>
      <c r="AI1628">
        <v>0</v>
      </c>
      <c r="AJ1628">
        <v>0</v>
      </c>
      <c r="AK1628">
        <v>0</v>
      </c>
      <c r="AL1628">
        <v>0</v>
      </c>
      <c r="AM1628">
        <v>0</v>
      </c>
      <c r="AN1628">
        <v>0</v>
      </c>
      <c r="AO1628">
        <v>0</v>
      </c>
      <c r="AP1628">
        <v>0</v>
      </c>
      <c r="AQ1628">
        <v>25.52</v>
      </c>
      <c r="AR1628">
        <v>0</v>
      </c>
      <c r="AS1628">
        <v>0</v>
      </c>
      <c r="AT1628">
        <v>0</v>
      </c>
      <c r="AU1628">
        <v>0</v>
      </c>
      <c r="AV1628">
        <v>0</v>
      </c>
      <c r="AW1628">
        <v>0</v>
      </c>
      <c r="AX1628">
        <v>0</v>
      </c>
      <c r="AY1628">
        <v>0</v>
      </c>
      <c r="AZ1628">
        <v>0</v>
      </c>
      <c r="BA1628">
        <v>0</v>
      </c>
      <c r="BB1628">
        <v>0</v>
      </c>
      <c r="BC1628">
        <v>0</v>
      </c>
      <c r="BD1628">
        <v>0</v>
      </c>
      <c r="BE1628">
        <v>0</v>
      </c>
      <c r="BF1628">
        <v>0</v>
      </c>
      <c r="BG1628">
        <v>0</v>
      </c>
      <c r="BH1628">
        <v>1</v>
      </c>
      <c r="BI1628">
        <v>1</v>
      </c>
      <c r="BJ1628">
        <v>0.2</v>
      </c>
      <c r="BK1628">
        <v>1</v>
      </c>
      <c r="BL1628">
        <v>76.06</v>
      </c>
      <c r="BM1628">
        <v>11.41</v>
      </c>
      <c r="BN1628">
        <v>87.47</v>
      </c>
      <c r="BO1628">
        <v>87.47</v>
      </c>
      <c r="BQ1628" t="s">
        <v>829</v>
      </c>
      <c r="BR1628" t="s">
        <v>82</v>
      </c>
      <c r="BS1628" t="s">
        <v>500</v>
      </c>
      <c r="BV1628" t="s">
        <v>87</v>
      </c>
      <c r="BY1628">
        <v>1200</v>
      </c>
      <c r="CC1628" t="s">
        <v>129</v>
      </c>
      <c r="CD1628">
        <v>5201</v>
      </c>
      <c r="CE1628" t="s">
        <v>134</v>
      </c>
      <c r="CI1628">
        <v>1</v>
      </c>
      <c r="CJ1628" t="s">
        <v>500</v>
      </c>
      <c r="CK1628">
        <v>21</v>
      </c>
      <c r="CL1628" t="s">
        <v>87</v>
      </c>
    </row>
    <row r="1629" spans="1:90" x14ac:dyDescent="0.3">
      <c r="A1629" t="s">
        <v>72</v>
      </c>
      <c r="B1629" t="s">
        <v>73</v>
      </c>
      <c r="C1629" t="s">
        <v>74</v>
      </c>
      <c r="E1629" t="str">
        <f>"080069851669"</f>
        <v>080069851669</v>
      </c>
      <c r="F1629" s="3">
        <v>46002</v>
      </c>
      <c r="G1629">
        <v>202609</v>
      </c>
      <c r="H1629" t="s">
        <v>75</v>
      </c>
      <c r="I1629" t="s">
        <v>76</v>
      </c>
      <c r="J1629" t="s">
        <v>77</v>
      </c>
      <c r="K1629" t="s">
        <v>78</v>
      </c>
      <c r="L1629" t="s">
        <v>156</v>
      </c>
      <c r="M1629" t="s">
        <v>157</v>
      </c>
      <c r="N1629" t="s">
        <v>1750</v>
      </c>
      <c r="O1629" t="s">
        <v>89</v>
      </c>
      <c r="P1629" t="str">
        <f>"4170073123                    "</f>
        <v xml:space="preserve">4170073123                    </v>
      </c>
      <c r="Q1629">
        <v>0</v>
      </c>
      <c r="R1629">
        <v>0</v>
      </c>
      <c r="S1629">
        <v>0</v>
      </c>
      <c r="T1629">
        <v>0</v>
      </c>
      <c r="U1629">
        <v>0</v>
      </c>
      <c r="V1629">
        <v>0</v>
      </c>
      <c r="W1629">
        <v>0</v>
      </c>
      <c r="X1629">
        <v>0</v>
      </c>
      <c r="Y1629">
        <v>0</v>
      </c>
      <c r="Z1629">
        <v>0</v>
      </c>
      <c r="AA1629">
        <v>0</v>
      </c>
      <c r="AB1629">
        <v>0</v>
      </c>
      <c r="AC1629">
        <v>0</v>
      </c>
      <c r="AD1629">
        <v>0</v>
      </c>
      <c r="AE1629">
        <v>0</v>
      </c>
      <c r="AF1629">
        <v>0</v>
      </c>
      <c r="AG1629">
        <v>0</v>
      </c>
      <c r="AH1629">
        <v>0</v>
      </c>
      <c r="AI1629">
        <v>0</v>
      </c>
      <c r="AJ1629">
        <v>0</v>
      </c>
      <c r="AK1629">
        <v>0</v>
      </c>
      <c r="AL1629">
        <v>0</v>
      </c>
      <c r="AM1629">
        <v>0</v>
      </c>
      <c r="AN1629">
        <v>0</v>
      </c>
      <c r="AO1629">
        <v>0</v>
      </c>
      <c r="AP1629">
        <v>0</v>
      </c>
      <c r="AQ1629">
        <v>25.52</v>
      </c>
      <c r="AR1629">
        <v>0</v>
      </c>
      <c r="AS1629">
        <v>0</v>
      </c>
      <c r="AT1629">
        <v>0</v>
      </c>
      <c r="AU1629">
        <v>0</v>
      </c>
      <c r="AV1629">
        <v>0</v>
      </c>
      <c r="AW1629">
        <v>0</v>
      </c>
      <c r="AX1629">
        <v>0</v>
      </c>
      <c r="AY1629">
        <v>0</v>
      </c>
      <c r="AZ1629">
        <v>0</v>
      </c>
      <c r="BA1629">
        <v>0</v>
      </c>
      <c r="BB1629">
        <v>0</v>
      </c>
      <c r="BC1629">
        <v>0</v>
      </c>
      <c r="BD1629">
        <v>0</v>
      </c>
      <c r="BE1629">
        <v>0</v>
      </c>
      <c r="BF1629">
        <v>0</v>
      </c>
      <c r="BG1629">
        <v>0</v>
      </c>
      <c r="BH1629">
        <v>1</v>
      </c>
      <c r="BI1629">
        <v>1</v>
      </c>
      <c r="BJ1629">
        <v>1.1000000000000001</v>
      </c>
      <c r="BK1629">
        <v>1.5</v>
      </c>
      <c r="BL1629">
        <v>76.06</v>
      </c>
      <c r="BM1629">
        <v>11.41</v>
      </c>
      <c r="BN1629">
        <v>87.47</v>
      </c>
      <c r="BO1629">
        <v>87.47</v>
      </c>
      <c r="BQ1629" t="s">
        <v>1751</v>
      </c>
      <c r="BR1629" t="s">
        <v>82</v>
      </c>
      <c r="BS1629" t="s">
        <v>500</v>
      </c>
      <c r="BV1629" t="s">
        <v>87</v>
      </c>
      <c r="BY1629">
        <v>5510</v>
      </c>
      <c r="CC1629" t="s">
        <v>157</v>
      </c>
      <c r="CD1629">
        <v>7800</v>
      </c>
      <c r="CE1629" t="s">
        <v>86</v>
      </c>
      <c r="CI1629">
        <v>1</v>
      </c>
      <c r="CJ1629" t="s">
        <v>500</v>
      </c>
      <c r="CK1629">
        <v>21</v>
      </c>
      <c r="CL1629" t="s">
        <v>87</v>
      </c>
    </row>
    <row r="1630" spans="1:90" x14ac:dyDescent="0.3">
      <c r="A1630" t="s">
        <v>72</v>
      </c>
      <c r="B1630" t="s">
        <v>73</v>
      </c>
      <c r="C1630" t="s">
        <v>74</v>
      </c>
      <c r="E1630" t="str">
        <f>"080069851706"</f>
        <v>080069851706</v>
      </c>
      <c r="F1630" s="3">
        <v>46002</v>
      </c>
      <c r="G1630">
        <v>202609</v>
      </c>
      <c r="H1630" t="s">
        <v>75</v>
      </c>
      <c r="I1630" t="s">
        <v>76</v>
      </c>
      <c r="J1630" t="s">
        <v>77</v>
      </c>
      <c r="K1630" t="s">
        <v>78</v>
      </c>
      <c r="L1630" t="s">
        <v>156</v>
      </c>
      <c r="M1630" t="s">
        <v>157</v>
      </c>
      <c r="N1630" t="s">
        <v>261</v>
      </c>
      <c r="O1630" t="s">
        <v>89</v>
      </c>
      <c r="P1630" t="str">
        <f>"4170073136                    "</f>
        <v xml:space="preserve">4170073136                    </v>
      </c>
      <c r="Q1630">
        <v>0</v>
      </c>
      <c r="R1630">
        <v>0</v>
      </c>
      <c r="S1630">
        <v>0</v>
      </c>
      <c r="T1630">
        <v>0</v>
      </c>
      <c r="U1630">
        <v>0</v>
      </c>
      <c r="V1630">
        <v>0</v>
      </c>
      <c r="W1630">
        <v>0</v>
      </c>
      <c r="X1630">
        <v>0</v>
      </c>
      <c r="Y1630">
        <v>0</v>
      </c>
      <c r="Z1630">
        <v>0</v>
      </c>
      <c r="AA1630">
        <v>0</v>
      </c>
      <c r="AB1630">
        <v>0</v>
      </c>
      <c r="AC1630">
        <v>0</v>
      </c>
      <c r="AD1630">
        <v>0</v>
      </c>
      <c r="AE1630">
        <v>0</v>
      </c>
      <c r="AF1630">
        <v>0</v>
      </c>
      <c r="AG1630">
        <v>0</v>
      </c>
      <c r="AH1630">
        <v>0</v>
      </c>
      <c r="AI1630">
        <v>0</v>
      </c>
      <c r="AJ1630">
        <v>0</v>
      </c>
      <c r="AK1630">
        <v>0</v>
      </c>
      <c r="AL1630">
        <v>0</v>
      </c>
      <c r="AM1630">
        <v>0</v>
      </c>
      <c r="AN1630">
        <v>0</v>
      </c>
      <c r="AO1630">
        <v>0</v>
      </c>
      <c r="AP1630">
        <v>0</v>
      </c>
      <c r="AQ1630">
        <v>25.52</v>
      </c>
      <c r="AR1630">
        <v>0</v>
      </c>
      <c r="AS1630">
        <v>0</v>
      </c>
      <c r="AT1630">
        <v>0</v>
      </c>
      <c r="AU1630">
        <v>0</v>
      </c>
      <c r="AV1630">
        <v>0</v>
      </c>
      <c r="AW1630">
        <v>0</v>
      </c>
      <c r="AX1630">
        <v>0</v>
      </c>
      <c r="AY1630">
        <v>0</v>
      </c>
      <c r="AZ1630">
        <v>0</v>
      </c>
      <c r="BA1630">
        <v>0</v>
      </c>
      <c r="BB1630">
        <v>0</v>
      </c>
      <c r="BC1630">
        <v>0</v>
      </c>
      <c r="BD1630">
        <v>0</v>
      </c>
      <c r="BE1630">
        <v>0</v>
      </c>
      <c r="BF1630">
        <v>0</v>
      </c>
      <c r="BG1630">
        <v>0</v>
      </c>
      <c r="BH1630">
        <v>1</v>
      </c>
      <c r="BI1630">
        <v>1</v>
      </c>
      <c r="BJ1630">
        <v>1.1000000000000001</v>
      </c>
      <c r="BK1630">
        <v>1.5</v>
      </c>
      <c r="BL1630">
        <v>76.06</v>
      </c>
      <c r="BM1630">
        <v>11.41</v>
      </c>
      <c r="BN1630">
        <v>87.47</v>
      </c>
      <c r="BO1630">
        <v>87.47</v>
      </c>
      <c r="BQ1630" t="s">
        <v>262</v>
      </c>
      <c r="BR1630" t="s">
        <v>82</v>
      </c>
      <c r="BS1630" t="s">
        <v>500</v>
      </c>
      <c r="BV1630" t="s">
        <v>87</v>
      </c>
      <c r="BY1630">
        <v>5510</v>
      </c>
      <c r="CC1630" t="s">
        <v>157</v>
      </c>
      <c r="CD1630">
        <v>7441</v>
      </c>
      <c r="CE1630" t="s">
        <v>86</v>
      </c>
      <c r="CI1630">
        <v>1</v>
      </c>
      <c r="CJ1630" t="s">
        <v>500</v>
      </c>
      <c r="CK1630">
        <v>21</v>
      </c>
      <c r="CL1630" t="s">
        <v>87</v>
      </c>
    </row>
    <row r="1631" spans="1:90" x14ac:dyDescent="0.3">
      <c r="A1631" t="s">
        <v>72</v>
      </c>
      <c r="B1631" t="s">
        <v>73</v>
      </c>
      <c r="C1631" t="s">
        <v>74</v>
      </c>
      <c r="E1631" t="str">
        <f>"080069851736"</f>
        <v>080069851736</v>
      </c>
      <c r="F1631" s="3">
        <v>46002</v>
      </c>
      <c r="G1631">
        <v>202609</v>
      </c>
      <c r="H1631" t="s">
        <v>75</v>
      </c>
      <c r="I1631" t="s">
        <v>76</v>
      </c>
      <c r="J1631" t="s">
        <v>77</v>
      </c>
      <c r="K1631" t="s">
        <v>78</v>
      </c>
      <c r="L1631" t="s">
        <v>141</v>
      </c>
      <c r="M1631" t="s">
        <v>142</v>
      </c>
      <c r="N1631" t="s">
        <v>798</v>
      </c>
      <c r="O1631" t="s">
        <v>89</v>
      </c>
      <c r="P1631" t="str">
        <f>"4170073203                    "</f>
        <v xml:space="preserve">4170073203                    </v>
      </c>
      <c r="Q1631">
        <v>0</v>
      </c>
      <c r="R1631">
        <v>0</v>
      </c>
      <c r="S1631">
        <v>0</v>
      </c>
      <c r="T1631">
        <v>0</v>
      </c>
      <c r="U1631">
        <v>0</v>
      </c>
      <c r="V1631">
        <v>0</v>
      </c>
      <c r="W1631">
        <v>0</v>
      </c>
      <c r="X1631">
        <v>0</v>
      </c>
      <c r="Y1631">
        <v>0</v>
      </c>
      <c r="Z1631">
        <v>0</v>
      </c>
      <c r="AA1631">
        <v>0</v>
      </c>
      <c r="AB1631">
        <v>0</v>
      </c>
      <c r="AC1631">
        <v>0</v>
      </c>
      <c r="AD1631">
        <v>0</v>
      </c>
      <c r="AE1631">
        <v>0</v>
      </c>
      <c r="AF1631">
        <v>0</v>
      </c>
      <c r="AG1631">
        <v>0</v>
      </c>
      <c r="AH1631">
        <v>0</v>
      </c>
      <c r="AI1631">
        <v>0</v>
      </c>
      <c r="AJ1631">
        <v>0</v>
      </c>
      <c r="AK1631">
        <v>0</v>
      </c>
      <c r="AL1631">
        <v>0</v>
      </c>
      <c r="AM1631">
        <v>0</v>
      </c>
      <c r="AN1631">
        <v>0</v>
      </c>
      <c r="AO1631">
        <v>0</v>
      </c>
      <c r="AP1631">
        <v>0</v>
      </c>
      <c r="AQ1631">
        <v>140.33000000000001</v>
      </c>
      <c r="AR1631">
        <v>0</v>
      </c>
      <c r="AS1631">
        <v>0</v>
      </c>
      <c r="AT1631">
        <v>0</v>
      </c>
      <c r="AU1631">
        <v>0</v>
      </c>
      <c r="AV1631">
        <v>0</v>
      </c>
      <c r="AW1631">
        <v>0</v>
      </c>
      <c r="AX1631">
        <v>0</v>
      </c>
      <c r="AY1631">
        <v>0</v>
      </c>
      <c r="AZ1631">
        <v>0</v>
      </c>
      <c r="BA1631">
        <v>0</v>
      </c>
      <c r="BB1631">
        <v>0</v>
      </c>
      <c r="BC1631">
        <v>0</v>
      </c>
      <c r="BD1631">
        <v>0</v>
      </c>
      <c r="BE1631">
        <v>0</v>
      </c>
      <c r="BF1631">
        <v>0</v>
      </c>
      <c r="BG1631">
        <v>0</v>
      </c>
      <c r="BH1631">
        <v>1</v>
      </c>
      <c r="BI1631">
        <v>11</v>
      </c>
      <c r="BJ1631">
        <v>9.1</v>
      </c>
      <c r="BK1631">
        <v>11</v>
      </c>
      <c r="BL1631">
        <v>418.21</v>
      </c>
      <c r="BM1631">
        <v>62.73</v>
      </c>
      <c r="BN1631">
        <v>480.94</v>
      </c>
      <c r="BO1631">
        <v>480.94</v>
      </c>
      <c r="BQ1631" t="s">
        <v>799</v>
      </c>
      <c r="BR1631" t="s">
        <v>82</v>
      </c>
      <c r="BS1631" t="s">
        <v>500</v>
      </c>
      <c r="BV1631" t="s">
        <v>87</v>
      </c>
      <c r="BY1631">
        <v>45375</v>
      </c>
      <c r="CC1631" t="s">
        <v>142</v>
      </c>
      <c r="CD1631">
        <v>6001</v>
      </c>
      <c r="CE1631" t="s">
        <v>229</v>
      </c>
      <c r="CI1631">
        <v>1</v>
      </c>
      <c r="CJ1631" t="s">
        <v>500</v>
      </c>
      <c r="CK1631">
        <v>21</v>
      </c>
      <c r="CL1631" t="s">
        <v>87</v>
      </c>
    </row>
    <row r="1632" spans="1:90" x14ac:dyDescent="0.3">
      <c r="A1632" t="s">
        <v>72</v>
      </c>
      <c r="B1632" t="s">
        <v>73</v>
      </c>
      <c r="C1632" t="s">
        <v>74</v>
      </c>
      <c r="E1632" t="str">
        <f>"080069851768"</f>
        <v>080069851768</v>
      </c>
      <c r="F1632" s="3">
        <v>46002</v>
      </c>
      <c r="G1632">
        <v>202609</v>
      </c>
      <c r="H1632" t="s">
        <v>75</v>
      </c>
      <c r="I1632" t="s">
        <v>76</v>
      </c>
      <c r="J1632" t="s">
        <v>77</v>
      </c>
      <c r="K1632" t="s">
        <v>78</v>
      </c>
      <c r="L1632" t="s">
        <v>141</v>
      </c>
      <c r="M1632" t="s">
        <v>142</v>
      </c>
      <c r="N1632" t="s">
        <v>214</v>
      </c>
      <c r="O1632" t="s">
        <v>89</v>
      </c>
      <c r="P1632" t="str">
        <f>"4170073160                    "</f>
        <v xml:space="preserve">4170073160                    </v>
      </c>
      <c r="Q1632">
        <v>0</v>
      </c>
      <c r="R1632">
        <v>0</v>
      </c>
      <c r="S1632">
        <v>0</v>
      </c>
      <c r="T1632">
        <v>0</v>
      </c>
      <c r="U1632">
        <v>0</v>
      </c>
      <c r="V1632">
        <v>0</v>
      </c>
      <c r="W1632">
        <v>0</v>
      </c>
      <c r="X1632">
        <v>0</v>
      </c>
      <c r="Y1632">
        <v>0</v>
      </c>
      <c r="Z1632">
        <v>0</v>
      </c>
      <c r="AA1632">
        <v>0</v>
      </c>
      <c r="AB1632">
        <v>0</v>
      </c>
      <c r="AC1632">
        <v>0</v>
      </c>
      <c r="AD1632">
        <v>0</v>
      </c>
      <c r="AE1632">
        <v>0</v>
      </c>
      <c r="AF1632">
        <v>0</v>
      </c>
      <c r="AG1632">
        <v>0</v>
      </c>
      <c r="AH1632">
        <v>0</v>
      </c>
      <c r="AI1632">
        <v>0</v>
      </c>
      <c r="AJ1632">
        <v>0</v>
      </c>
      <c r="AK1632">
        <v>0</v>
      </c>
      <c r="AL1632">
        <v>0</v>
      </c>
      <c r="AM1632">
        <v>0</v>
      </c>
      <c r="AN1632">
        <v>0</v>
      </c>
      <c r="AO1632">
        <v>0</v>
      </c>
      <c r="AP1632">
        <v>0</v>
      </c>
      <c r="AQ1632">
        <v>25.52</v>
      </c>
      <c r="AR1632">
        <v>0</v>
      </c>
      <c r="AS1632">
        <v>0</v>
      </c>
      <c r="AT1632">
        <v>0</v>
      </c>
      <c r="AU1632">
        <v>0</v>
      </c>
      <c r="AV1632">
        <v>0</v>
      </c>
      <c r="AW1632">
        <v>0</v>
      </c>
      <c r="AX1632">
        <v>0</v>
      </c>
      <c r="AY1632">
        <v>0</v>
      </c>
      <c r="AZ1632">
        <v>0</v>
      </c>
      <c r="BA1632">
        <v>0</v>
      </c>
      <c r="BB1632">
        <v>0</v>
      </c>
      <c r="BC1632">
        <v>0</v>
      </c>
      <c r="BD1632">
        <v>0</v>
      </c>
      <c r="BE1632">
        <v>0</v>
      </c>
      <c r="BF1632">
        <v>0</v>
      </c>
      <c r="BG1632">
        <v>0</v>
      </c>
      <c r="BH1632">
        <v>1</v>
      </c>
      <c r="BI1632">
        <v>1</v>
      </c>
      <c r="BJ1632">
        <v>0.2</v>
      </c>
      <c r="BK1632">
        <v>1</v>
      </c>
      <c r="BL1632">
        <v>76.06</v>
      </c>
      <c r="BM1632">
        <v>11.41</v>
      </c>
      <c r="BN1632">
        <v>87.47</v>
      </c>
      <c r="BO1632">
        <v>87.47</v>
      </c>
      <c r="BQ1632" t="s">
        <v>215</v>
      </c>
      <c r="BR1632" t="s">
        <v>82</v>
      </c>
      <c r="BS1632" t="s">
        <v>500</v>
      </c>
      <c r="BV1632" t="s">
        <v>87</v>
      </c>
      <c r="BY1632">
        <v>1200</v>
      </c>
      <c r="CC1632" t="s">
        <v>142</v>
      </c>
      <c r="CD1632">
        <v>6001</v>
      </c>
      <c r="CE1632" t="s">
        <v>134</v>
      </c>
      <c r="CI1632">
        <v>1</v>
      </c>
      <c r="CJ1632" t="s">
        <v>500</v>
      </c>
      <c r="CK1632">
        <v>21</v>
      </c>
      <c r="CL1632" t="s">
        <v>87</v>
      </c>
    </row>
    <row r="1633" spans="1:90" x14ac:dyDescent="0.3">
      <c r="A1633" t="s">
        <v>72</v>
      </c>
      <c r="B1633" t="s">
        <v>73</v>
      </c>
      <c r="C1633" t="s">
        <v>74</v>
      </c>
      <c r="E1633" t="str">
        <f>"080069852378"</f>
        <v>080069852378</v>
      </c>
      <c r="F1633" s="3">
        <v>46002</v>
      </c>
      <c r="G1633">
        <v>202609</v>
      </c>
      <c r="H1633" t="s">
        <v>75</v>
      </c>
      <c r="I1633" t="s">
        <v>76</v>
      </c>
      <c r="J1633" t="s">
        <v>77</v>
      </c>
      <c r="K1633" t="s">
        <v>78</v>
      </c>
      <c r="L1633" t="s">
        <v>94</v>
      </c>
      <c r="M1633" t="s">
        <v>95</v>
      </c>
      <c r="N1633" t="s">
        <v>936</v>
      </c>
      <c r="O1633" t="s">
        <v>89</v>
      </c>
      <c r="P1633" t="str">
        <f>"4170072838                    "</f>
        <v xml:space="preserve">4170072838                    </v>
      </c>
      <c r="Q1633">
        <v>0</v>
      </c>
      <c r="R1633">
        <v>0</v>
      </c>
      <c r="S1633">
        <v>0</v>
      </c>
      <c r="T1633">
        <v>0</v>
      </c>
      <c r="U1633">
        <v>0</v>
      </c>
      <c r="V1633">
        <v>0</v>
      </c>
      <c r="W1633">
        <v>0</v>
      </c>
      <c r="X1633">
        <v>0</v>
      </c>
      <c r="Y1633">
        <v>0</v>
      </c>
      <c r="Z1633">
        <v>0</v>
      </c>
      <c r="AA1633">
        <v>0</v>
      </c>
      <c r="AB1633">
        <v>0</v>
      </c>
      <c r="AC1633">
        <v>0</v>
      </c>
      <c r="AD1633">
        <v>0</v>
      </c>
      <c r="AE1633">
        <v>0</v>
      </c>
      <c r="AF1633">
        <v>0</v>
      </c>
      <c r="AG1633">
        <v>0</v>
      </c>
      <c r="AH1633">
        <v>0</v>
      </c>
      <c r="AI1633">
        <v>0</v>
      </c>
      <c r="AJ1633">
        <v>0</v>
      </c>
      <c r="AK1633">
        <v>0</v>
      </c>
      <c r="AL1633">
        <v>0</v>
      </c>
      <c r="AM1633">
        <v>0</v>
      </c>
      <c r="AN1633">
        <v>0</v>
      </c>
      <c r="AO1633">
        <v>0</v>
      </c>
      <c r="AP1633">
        <v>0</v>
      </c>
      <c r="AQ1633">
        <v>25.52</v>
      </c>
      <c r="AR1633">
        <v>0</v>
      </c>
      <c r="AS1633">
        <v>0</v>
      </c>
      <c r="AT1633">
        <v>0</v>
      </c>
      <c r="AU1633">
        <v>0</v>
      </c>
      <c r="AV1633">
        <v>0</v>
      </c>
      <c r="AW1633">
        <v>0</v>
      </c>
      <c r="AX1633">
        <v>0</v>
      </c>
      <c r="AY1633">
        <v>0</v>
      </c>
      <c r="AZ1633">
        <v>0</v>
      </c>
      <c r="BA1633">
        <v>0</v>
      </c>
      <c r="BB1633">
        <v>0</v>
      </c>
      <c r="BC1633">
        <v>0</v>
      </c>
      <c r="BD1633">
        <v>0</v>
      </c>
      <c r="BE1633">
        <v>0</v>
      </c>
      <c r="BF1633">
        <v>0</v>
      </c>
      <c r="BG1633">
        <v>0</v>
      </c>
      <c r="BH1633">
        <v>1</v>
      </c>
      <c r="BI1633">
        <v>1</v>
      </c>
      <c r="BJ1633">
        <v>0.2</v>
      </c>
      <c r="BK1633">
        <v>1</v>
      </c>
      <c r="BL1633">
        <v>76.06</v>
      </c>
      <c r="BM1633">
        <v>11.41</v>
      </c>
      <c r="BN1633">
        <v>87.47</v>
      </c>
      <c r="BO1633">
        <v>87.47</v>
      </c>
      <c r="BQ1633" t="s">
        <v>937</v>
      </c>
      <c r="BR1633" t="s">
        <v>82</v>
      </c>
      <c r="BS1633" t="s">
        <v>500</v>
      </c>
      <c r="BV1633" t="s">
        <v>87</v>
      </c>
      <c r="BY1633">
        <v>1200</v>
      </c>
      <c r="CC1633" t="s">
        <v>95</v>
      </c>
      <c r="CD1633">
        <v>3610</v>
      </c>
      <c r="CE1633" t="s">
        <v>134</v>
      </c>
      <c r="CI1633">
        <v>1</v>
      </c>
      <c r="CJ1633" t="s">
        <v>500</v>
      </c>
      <c r="CK1633">
        <v>21</v>
      </c>
      <c r="CL1633" t="s">
        <v>87</v>
      </c>
    </row>
    <row r="1634" spans="1:90" x14ac:dyDescent="0.3">
      <c r="A1634" t="s">
        <v>72</v>
      </c>
      <c r="B1634" t="s">
        <v>73</v>
      </c>
      <c r="C1634" t="s">
        <v>74</v>
      </c>
      <c r="E1634" t="str">
        <f>"080069852442"</f>
        <v>080069852442</v>
      </c>
      <c r="F1634" s="3">
        <v>46002</v>
      </c>
      <c r="G1634">
        <v>202609</v>
      </c>
      <c r="H1634" t="s">
        <v>75</v>
      </c>
      <c r="I1634" t="s">
        <v>76</v>
      </c>
      <c r="J1634" t="s">
        <v>77</v>
      </c>
      <c r="K1634" t="s">
        <v>78</v>
      </c>
      <c r="L1634" t="s">
        <v>265</v>
      </c>
      <c r="M1634" t="s">
        <v>266</v>
      </c>
      <c r="N1634" t="s">
        <v>1787</v>
      </c>
      <c r="O1634" t="s">
        <v>340</v>
      </c>
      <c r="P1634" t="str">
        <f>"4170072985                    "</f>
        <v xml:space="preserve">4170072985                    </v>
      </c>
      <c r="Q1634">
        <v>0</v>
      </c>
      <c r="R1634">
        <v>0</v>
      </c>
      <c r="S1634">
        <v>0</v>
      </c>
      <c r="T1634">
        <v>0</v>
      </c>
      <c r="U1634">
        <v>0</v>
      </c>
      <c r="V1634">
        <v>0</v>
      </c>
      <c r="W1634">
        <v>0</v>
      </c>
      <c r="X1634">
        <v>0</v>
      </c>
      <c r="Y1634">
        <v>0</v>
      </c>
      <c r="Z1634">
        <v>0</v>
      </c>
      <c r="AA1634">
        <v>0</v>
      </c>
      <c r="AB1634">
        <v>0</v>
      </c>
      <c r="AC1634">
        <v>0</v>
      </c>
      <c r="AD1634">
        <v>0</v>
      </c>
      <c r="AE1634">
        <v>0</v>
      </c>
      <c r="AF1634">
        <v>0</v>
      </c>
      <c r="AG1634">
        <v>0</v>
      </c>
      <c r="AH1634">
        <v>0</v>
      </c>
      <c r="AI1634">
        <v>0</v>
      </c>
      <c r="AJ1634">
        <v>0</v>
      </c>
      <c r="AK1634">
        <v>0</v>
      </c>
      <c r="AL1634">
        <v>0</v>
      </c>
      <c r="AM1634">
        <v>0</v>
      </c>
      <c r="AN1634">
        <v>0</v>
      </c>
      <c r="AO1634">
        <v>0</v>
      </c>
      <c r="AP1634">
        <v>0</v>
      </c>
      <c r="AQ1634">
        <v>19.940000000000001</v>
      </c>
      <c r="AR1634">
        <v>0</v>
      </c>
      <c r="AS1634">
        <v>0</v>
      </c>
      <c r="AT1634">
        <v>0</v>
      </c>
      <c r="AU1634">
        <v>0</v>
      </c>
      <c r="AV1634">
        <v>0</v>
      </c>
      <c r="AW1634">
        <v>0</v>
      </c>
      <c r="AX1634">
        <v>0</v>
      </c>
      <c r="AY1634">
        <v>0</v>
      </c>
      <c r="AZ1634">
        <v>0</v>
      </c>
      <c r="BA1634">
        <v>0</v>
      </c>
      <c r="BB1634">
        <v>0</v>
      </c>
      <c r="BC1634">
        <v>0</v>
      </c>
      <c r="BD1634">
        <v>0</v>
      </c>
      <c r="BE1634">
        <v>0</v>
      </c>
      <c r="BF1634">
        <v>0</v>
      </c>
      <c r="BG1634">
        <v>0</v>
      </c>
      <c r="BH1634">
        <v>2</v>
      </c>
      <c r="BI1634">
        <v>6</v>
      </c>
      <c r="BJ1634">
        <v>6.4</v>
      </c>
      <c r="BK1634">
        <v>7</v>
      </c>
      <c r="BL1634">
        <v>59.43</v>
      </c>
      <c r="BM1634">
        <v>8.91</v>
      </c>
      <c r="BN1634">
        <v>68.34</v>
      </c>
      <c r="BO1634">
        <v>68.34</v>
      </c>
      <c r="BQ1634" t="s">
        <v>1788</v>
      </c>
      <c r="BR1634" t="s">
        <v>82</v>
      </c>
      <c r="BS1634" s="3">
        <v>46003</v>
      </c>
      <c r="BT1634" s="4">
        <v>0.31666666666666665</v>
      </c>
      <c r="BU1634" t="s">
        <v>2192</v>
      </c>
      <c r="BV1634" t="s">
        <v>84</v>
      </c>
      <c r="BY1634">
        <v>16000</v>
      </c>
      <c r="CA1634" t="s">
        <v>417</v>
      </c>
      <c r="CC1634" t="s">
        <v>266</v>
      </c>
      <c r="CD1634">
        <v>1459</v>
      </c>
      <c r="CE1634" t="s">
        <v>894</v>
      </c>
      <c r="CI1634">
        <v>1</v>
      </c>
      <c r="CJ1634">
        <v>1</v>
      </c>
      <c r="CK1634">
        <v>32</v>
      </c>
      <c r="CL1634" t="s">
        <v>87</v>
      </c>
    </row>
    <row r="1635" spans="1:90" x14ac:dyDescent="0.3">
      <c r="A1635" t="s">
        <v>72</v>
      </c>
      <c r="B1635" t="s">
        <v>73</v>
      </c>
      <c r="C1635" t="s">
        <v>74</v>
      </c>
      <c r="E1635" t="str">
        <f>"080069852490"</f>
        <v>080069852490</v>
      </c>
      <c r="F1635" s="3">
        <v>46002</v>
      </c>
      <c r="G1635">
        <v>202609</v>
      </c>
      <c r="H1635" t="s">
        <v>75</v>
      </c>
      <c r="I1635" t="s">
        <v>76</v>
      </c>
      <c r="J1635" t="s">
        <v>77</v>
      </c>
      <c r="K1635" t="s">
        <v>78</v>
      </c>
      <c r="L1635" t="s">
        <v>302</v>
      </c>
      <c r="M1635" t="s">
        <v>303</v>
      </c>
      <c r="N1635" t="s">
        <v>2208</v>
      </c>
      <c r="O1635" t="s">
        <v>89</v>
      </c>
      <c r="P1635" t="str">
        <f>"4170072170                    "</f>
        <v xml:space="preserve">4170072170                    </v>
      </c>
      <c r="Q1635">
        <v>0</v>
      </c>
      <c r="R1635">
        <v>0</v>
      </c>
      <c r="S1635">
        <v>0</v>
      </c>
      <c r="T1635">
        <v>0</v>
      </c>
      <c r="U1635">
        <v>0</v>
      </c>
      <c r="V1635">
        <v>0</v>
      </c>
      <c r="W1635">
        <v>0</v>
      </c>
      <c r="X1635">
        <v>0</v>
      </c>
      <c r="Y1635">
        <v>0</v>
      </c>
      <c r="Z1635">
        <v>0</v>
      </c>
      <c r="AA1635">
        <v>0</v>
      </c>
      <c r="AB1635">
        <v>0</v>
      </c>
      <c r="AC1635">
        <v>0</v>
      </c>
      <c r="AD1635">
        <v>0</v>
      </c>
      <c r="AE1635">
        <v>0</v>
      </c>
      <c r="AF1635">
        <v>0</v>
      </c>
      <c r="AG1635">
        <v>0</v>
      </c>
      <c r="AH1635">
        <v>0</v>
      </c>
      <c r="AI1635">
        <v>0</v>
      </c>
      <c r="AJ1635">
        <v>0</v>
      </c>
      <c r="AK1635">
        <v>0</v>
      </c>
      <c r="AL1635">
        <v>0</v>
      </c>
      <c r="AM1635">
        <v>0</v>
      </c>
      <c r="AN1635">
        <v>0</v>
      </c>
      <c r="AO1635">
        <v>0</v>
      </c>
      <c r="AP1635">
        <v>0</v>
      </c>
      <c r="AQ1635">
        <v>25.52</v>
      </c>
      <c r="AR1635">
        <v>0</v>
      </c>
      <c r="AS1635">
        <v>0</v>
      </c>
      <c r="AT1635">
        <v>0</v>
      </c>
      <c r="AU1635">
        <v>0</v>
      </c>
      <c r="AV1635">
        <v>0</v>
      </c>
      <c r="AW1635">
        <v>0</v>
      </c>
      <c r="AX1635">
        <v>0</v>
      </c>
      <c r="AY1635">
        <v>0</v>
      </c>
      <c r="AZ1635">
        <v>0</v>
      </c>
      <c r="BA1635">
        <v>0</v>
      </c>
      <c r="BB1635">
        <v>0</v>
      </c>
      <c r="BC1635">
        <v>0</v>
      </c>
      <c r="BD1635">
        <v>0</v>
      </c>
      <c r="BE1635">
        <v>0</v>
      </c>
      <c r="BF1635">
        <v>0</v>
      </c>
      <c r="BG1635">
        <v>0</v>
      </c>
      <c r="BH1635">
        <v>1</v>
      </c>
      <c r="BI1635">
        <v>1</v>
      </c>
      <c r="BJ1635">
        <v>1.4</v>
      </c>
      <c r="BK1635">
        <v>1.5</v>
      </c>
      <c r="BL1635">
        <v>76.06</v>
      </c>
      <c r="BM1635">
        <v>11.41</v>
      </c>
      <c r="BN1635">
        <v>87.47</v>
      </c>
      <c r="BO1635">
        <v>87.47</v>
      </c>
      <c r="BQ1635" t="s">
        <v>2209</v>
      </c>
      <c r="BR1635" t="s">
        <v>82</v>
      </c>
      <c r="BS1635" t="s">
        <v>500</v>
      </c>
      <c r="BV1635" t="s">
        <v>87</v>
      </c>
      <c r="BY1635">
        <v>7000</v>
      </c>
      <c r="CC1635" t="s">
        <v>303</v>
      </c>
      <c r="CD1635" s="5" t="s">
        <v>2210</v>
      </c>
      <c r="CE1635" t="s">
        <v>86</v>
      </c>
      <c r="CI1635">
        <v>1</v>
      </c>
      <c r="CJ1635" t="s">
        <v>500</v>
      </c>
      <c r="CK1635">
        <v>21</v>
      </c>
      <c r="CL1635" t="s">
        <v>87</v>
      </c>
    </row>
    <row r="1636" spans="1:90" x14ac:dyDescent="0.3">
      <c r="A1636" t="s">
        <v>72</v>
      </c>
      <c r="B1636" t="s">
        <v>73</v>
      </c>
      <c r="C1636" t="s">
        <v>74</v>
      </c>
      <c r="E1636" t="str">
        <f>"080069852540"</f>
        <v>080069852540</v>
      </c>
      <c r="F1636" s="3">
        <v>46002</v>
      </c>
      <c r="G1636">
        <v>202609</v>
      </c>
      <c r="H1636" t="s">
        <v>75</v>
      </c>
      <c r="I1636" t="s">
        <v>76</v>
      </c>
      <c r="J1636" t="s">
        <v>77</v>
      </c>
      <c r="K1636" t="s">
        <v>78</v>
      </c>
      <c r="L1636" t="s">
        <v>351</v>
      </c>
      <c r="M1636" t="s">
        <v>352</v>
      </c>
      <c r="N1636" t="s">
        <v>2211</v>
      </c>
      <c r="O1636" t="s">
        <v>89</v>
      </c>
      <c r="P1636" t="str">
        <f>"4170072351                    "</f>
        <v xml:space="preserve">4170072351                    </v>
      </c>
      <c r="Q1636">
        <v>0</v>
      </c>
      <c r="R1636">
        <v>0</v>
      </c>
      <c r="S1636">
        <v>0</v>
      </c>
      <c r="T1636">
        <v>0</v>
      </c>
      <c r="U1636">
        <v>0</v>
      </c>
      <c r="V1636">
        <v>0</v>
      </c>
      <c r="W1636">
        <v>0</v>
      </c>
      <c r="X1636">
        <v>0</v>
      </c>
      <c r="Y1636">
        <v>0</v>
      </c>
      <c r="Z1636">
        <v>0</v>
      </c>
      <c r="AA1636">
        <v>0</v>
      </c>
      <c r="AB1636">
        <v>0</v>
      </c>
      <c r="AC1636">
        <v>0</v>
      </c>
      <c r="AD1636">
        <v>0</v>
      </c>
      <c r="AE1636">
        <v>0</v>
      </c>
      <c r="AF1636">
        <v>0</v>
      </c>
      <c r="AG1636">
        <v>0</v>
      </c>
      <c r="AH1636">
        <v>0</v>
      </c>
      <c r="AI1636">
        <v>0</v>
      </c>
      <c r="AJ1636">
        <v>0</v>
      </c>
      <c r="AK1636">
        <v>0</v>
      </c>
      <c r="AL1636">
        <v>0</v>
      </c>
      <c r="AM1636">
        <v>0</v>
      </c>
      <c r="AN1636">
        <v>0</v>
      </c>
      <c r="AO1636">
        <v>0</v>
      </c>
      <c r="AP1636">
        <v>0</v>
      </c>
      <c r="AQ1636">
        <v>53.38</v>
      </c>
      <c r="AR1636">
        <v>0</v>
      </c>
      <c r="AS1636">
        <v>0</v>
      </c>
      <c r="AT1636">
        <v>0</v>
      </c>
      <c r="AU1636">
        <v>0</v>
      </c>
      <c r="AV1636">
        <v>0</v>
      </c>
      <c r="AW1636">
        <v>0</v>
      </c>
      <c r="AX1636">
        <v>0</v>
      </c>
      <c r="AY1636">
        <v>0</v>
      </c>
      <c r="AZ1636">
        <v>0</v>
      </c>
      <c r="BA1636">
        <v>0</v>
      </c>
      <c r="BB1636">
        <v>0</v>
      </c>
      <c r="BC1636">
        <v>0</v>
      </c>
      <c r="BD1636">
        <v>0</v>
      </c>
      <c r="BE1636">
        <v>0</v>
      </c>
      <c r="BF1636">
        <v>0</v>
      </c>
      <c r="BG1636">
        <v>0</v>
      </c>
      <c r="BH1636">
        <v>1</v>
      </c>
      <c r="BI1636">
        <v>3</v>
      </c>
      <c r="BJ1636">
        <v>0.9</v>
      </c>
      <c r="BK1636">
        <v>3</v>
      </c>
      <c r="BL1636">
        <v>159.08000000000001</v>
      </c>
      <c r="BM1636">
        <v>23.86</v>
      </c>
      <c r="BN1636">
        <v>182.94</v>
      </c>
      <c r="BO1636">
        <v>182.94</v>
      </c>
      <c r="BQ1636" t="s">
        <v>2212</v>
      </c>
      <c r="BR1636" t="s">
        <v>82</v>
      </c>
      <c r="BS1636" t="s">
        <v>500</v>
      </c>
      <c r="BV1636" t="s">
        <v>87</v>
      </c>
      <c r="BY1636">
        <v>4560</v>
      </c>
      <c r="CC1636" t="s">
        <v>352</v>
      </c>
      <c r="CD1636">
        <v>1438</v>
      </c>
      <c r="CE1636" t="s">
        <v>86</v>
      </c>
      <c r="CI1636">
        <v>1</v>
      </c>
      <c r="CJ1636" t="s">
        <v>500</v>
      </c>
      <c r="CK1636">
        <v>24</v>
      </c>
      <c r="CL1636" t="s">
        <v>87</v>
      </c>
    </row>
    <row r="1637" spans="1:90" x14ac:dyDescent="0.3">
      <c r="A1637" t="s">
        <v>72</v>
      </c>
      <c r="B1637" t="s">
        <v>73</v>
      </c>
      <c r="C1637" t="s">
        <v>74</v>
      </c>
      <c r="E1637" t="str">
        <f>"080069852563"</f>
        <v>080069852563</v>
      </c>
      <c r="F1637" s="3">
        <v>46002</v>
      </c>
      <c r="G1637">
        <v>202609</v>
      </c>
      <c r="H1637" t="s">
        <v>75</v>
      </c>
      <c r="I1637" t="s">
        <v>76</v>
      </c>
      <c r="J1637" t="s">
        <v>77</v>
      </c>
      <c r="K1637" t="s">
        <v>78</v>
      </c>
      <c r="L1637" t="s">
        <v>128</v>
      </c>
      <c r="M1637" t="s">
        <v>129</v>
      </c>
      <c r="N1637" t="s">
        <v>383</v>
      </c>
      <c r="O1637" t="s">
        <v>89</v>
      </c>
      <c r="P1637" t="str">
        <f>"4170072879                    "</f>
        <v xml:space="preserve">4170072879                    </v>
      </c>
      <c r="Q1637">
        <v>0</v>
      </c>
      <c r="R1637">
        <v>0</v>
      </c>
      <c r="S1637">
        <v>0</v>
      </c>
      <c r="T1637">
        <v>0</v>
      </c>
      <c r="U1637">
        <v>0</v>
      </c>
      <c r="V1637">
        <v>0</v>
      </c>
      <c r="W1637">
        <v>0</v>
      </c>
      <c r="X1637">
        <v>0</v>
      </c>
      <c r="Y1637">
        <v>0</v>
      </c>
      <c r="Z1637">
        <v>0</v>
      </c>
      <c r="AA1637">
        <v>0</v>
      </c>
      <c r="AB1637">
        <v>0</v>
      </c>
      <c r="AC1637">
        <v>0</v>
      </c>
      <c r="AD1637">
        <v>0</v>
      </c>
      <c r="AE1637">
        <v>0</v>
      </c>
      <c r="AF1637">
        <v>0</v>
      </c>
      <c r="AG1637">
        <v>0</v>
      </c>
      <c r="AH1637">
        <v>0</v>
      </c>
      <c r="AI1637">
        <v>0</v>
      </c>
      <c r="AJ1637">
        <v>0</v>
      </c>
      <c r="AK1637">
        <v>0</v>
      </c>
      <c r="AL1637">
        <v>0</v>
      </c>
      <c r="AM1637">
        <v>0</v>
      </c>
      <c r="AN1637">
        <v>0</v>
      </c>
      <c r="AO1637">
        <v>0</v>
      </c>
      <c r="AP1637">
        <v>0</v>
      </c>
      <c r="AQ1637">
        <v>25.52</v>
      </c>
      <c r="AR1637">
        <v>0</v>
      </c>
      <c r="AS1637">
        <v>0</v>
      </c>
      <c r="AT1637">
        <v>0</v>
      </c>
      <c r="AU1637">
        <v>0</v>
      </c>
      <c r="AV1637">
        <v>0</v>
      </c>
      <c r="AW1637">
        <v>0</v>
      </c>
      <c r="AX1637">
        <v>0</v>
      </c>
      <c r="AY1637">
        <v>0</v>
      </c>
      <c r="AZ1637">
        <v>0</v>
      </c>
      <c r="BA1637">
        <v>0</v>
      </c>
      <c r="BB1637">
        <v>0</v>
      </c>
      <c r="BC1637">
        <v>0</v>
      </c>
      <c r="BD1637">
        <v>0</v>
      </c>
      <c r="BE1637">
        <v>0</v>
      </c>
      <c r="BF1637">
        <v>0</v>
      </c>
      <c r="BG1637">
        <v>0</v>
      </c>
      <c r="BH1637">
        <v>1</v>
      </c>
      <c r="BI1637">
        <v>1</v>
      </c>
      <c r="BJ1637">
        <v>1.4</v>
      </c>
      <c r="BK1637">
        <v>1.5</v>
      </c>
      <c r="BL1637">
        <v>76.06</v>
      </c>
      <c r="BM1637">
        <v>11.41</v>
      </c>
      <c r="BN1637">
        <v>87.47</v>
      </c>
      <c r="BO1637">
        <v>87.47</v>
      </c>
      <c r="BQ1637" t="s">
        <v>384</v>
      </c>
      <c r="BR1637" t="s">
        <v>82</v>
      </c>
      <c r="BS1637" t="s">
        <v>500</v>
      </c>
      <c r="BV1637" t="s">
        <v>87</v>
      </c>
      <c r="BY1637">
        <v>7000</v>
      </c>
      <c r="CC1637" t="s">
        <v>129</v>
      </c>
      <c r="CD1637">
        <v>5201</v>
      </c>
      <c r="CE1637" t="s">
        <v>86</v>
      </c>
      <c r="CI1637">
        <v>1</v>
      </c>
      <c r="CJ1637" t="s">
        <v>500</v>
      </c>
      <c r="CK1637">
        <v>21</v>
      </c>
      <c r="CL1637" t="s">
        <v>87</v>
      </c>
    </row>
    <row r="1638" spans="1:90" x14ac:dyDescent="0.3">
      <c r="A1638" t="s">
        <v>72</v>
      </c>
      <c r="B1638" t="s">
        <v>73</v>
      </c>
      <c r="C1638" t="s">
        <v>74</v>
      </c>
      <c r="E1638" t="str">
        <f>"080069852587"</f>
        <v>080069852587</v>
      </c>
      <c r="F1638" s="3">
        <v>46002</v>
      </c>
      <c r="G1638">
        <v>202609</v>
      </c>
      <c r="H1638" t="s">
        <v>75</v>
      </c>
      <c r="I1638" t="s">
        <v>76</v>
      </c>
      <c r="J1638" t="s">
        <v>77</v>
      </c>
      <c r="K1638" t="s">
        <v>78</v>
      </c>
      <c r="L1638" t="s">
        <v>241</v>
      </c>
      <c r="M1638" t="s">
        <v>242</v>
      </c>
      <c r="N1638" t="s">
        <v>1098</v>
      </c>
      <c r="O1638" t="s">
        <v>89</v>
      </c>
      <c r="P1638" t="str">
        <f>"4170073158                    "</f>
        <v xml:space="preserve">4170073158                    </v>
      </c>
      <c r="Q1638">
        <v>0</v>
      </c>
      <c r="R1638">
        <v>0</v>
      </c>
      <c r="S1638">
        <v>0</v>
      </c>
      <c r="T1638">
        <v>0</v>
      </c>
      <c r="U1638">
        <v>0</v>
      </c>
      <c r="V1638">
        <v>0</v>
      </c>
      <c r="W1638">
        <v>0</v>
      </c>
      <c r="X1638">
        <v>0</v>
      </c>
      <c r="Y1638">
        <v>0</v>
      </c>
      <c r="Z1638">
        <v>0</v>
      </c>
      <c r="AA1638">
        <v>0</v>
      </c>
      <c r="AB1638">
        <v>0</v>
      </c>
      <c r="AC1638">
        <v>0</v>
      </c>
      <c r="AD1638">
        <v>0</v>
      </c>
      <c r="AE1638">
        <v>0</v>
      </c>
      <c r="AF1638">
        <v>0</v>
      </c>
      <c r="AG1638">
        <v>0</v>
      </c>
      <c r="AH1638">
        <v>0</v>
      </c>
      <c r="AI1638">
        <v>0</v>
      </c>
      <c r="AJ1638">
        <v>0</v>
      </c>
      <c r="AK1638">
        <v>0</v>
      </c>
      <c r="AL1638">
        <v>0</v>
      </c>
      <c r="AM1638">
        <v>0</v>
      </c>
      <c r="AN1638">
        <v>0</v>
      </c>
      <c r="AO1638">
        <v>0</v>
      </c>
      <c r="AP1638">
        <v>0</v>
      </c>
      <c r="AQ1638">
        <v>57.41</v>
      </c>
      <c r="AR1638">
        <v>0</v>
      </c>
      <c r="AS1638">
        <v>0</v>
      </c>
      <c r="AT1638">
        <v>0</v>
      </c>
      <c r="AU1638">
        <v>0</v>
      </c>
      <c r="AV1638">
        <v>0</v>
      </c>
      <c r="AW1638">
        <v>0</v>
      </c>
      <c r="AX1638">
        <v>0</v>
      </c>
      <c r="AY1638">
        <v>0</v>
      </c>
      <c r="AZ1638">
        <v>0</v>
      </c>
      <c r="BA1638">
        <v>0</v>
      </c>
      <c r="BB1638">
        <v>0</v>
      </c>
      <c r="BC1638">
        <v>0</v>
      </c>
      <c r="BD1638">
        <v>0</v>
      </c>
      <c r="BE1638">
        <v>0</v>
      </c>
      <c r="BF1638">
        <v>0</v>
      </c>
      <c r="BG1638">
        <v>0</v>
      </c>
      <c r="BH1638">
        <v>1</v>
      </c>
      <c r="BI1638">
        <v>4</v>
      </c>
      <c r="BJ1638">
        <v>4.5</v>
      </c>
      <c r="BK1638">
        <v>4.5</v>
      </c>
      <c r="BL1638">
        <v>171.1</v>
      </c>
      <c r="BM1638">
        <v>25.67</v>
      </c>
      <c r="BN1638">
        <v>196.77</v>
      </c>
      <c r="BO1638">
        <v>196.77</v>
      </c>
      <c r="BQ1638" t="s">
        <v>1099</v>
      </c>
      <c r="BR1638" t="s">
        <v>82</v>
      </c>
      <c r="BS1638" t="s">
        <v>500</v>
      </c>
      <c r="BV1638" t="s">
        <v>87</v>
      </c>
      <c r="BY1638">
        <v>22344</v>
      </c>
      <c r="CC1638" t="s">
        <v>242</v>
      </c>
      <c r="CD1638">
        <v>4302</v>
      </c>
      <c r="CE1638" t="s">
        <v>93</v>
      </c>
      <c r="CI1638">
        <v>1</v>
      </c>
      <c r="CJ1638" t="s">
        <v>500</v>
      </c>
      <c r="CK1638">
        <v>21</v>
      </c>
      <c r="CL1638" t="s">
        <v>87</v>
      </c>
    </row>
    <row r="1639" spans="1:90" x14ac:dyDescent="0.3">
      <c r="A1639" t="s">
        <v>72</v>
      </c>
      <c r="B1639" t="s">
        <v>73</v>
      </c>
      <c r="C1639" t="s">
        <v>74</v>
      </c>
      <c r="E1639" t="str">
        <f>"080069852698"</f>
        <v>080069852698</v>
      </c>
      <c r="F1639" s="3">
        <v>46002</v>
      </c>
      <c r="G1639">
        <v>202609</v>
      </c>
      <c r="H1639" t="s">
        <v>75</v>
      </c>
      <c r="I1639" t="s">
        <v>76</v>
      </c>
      <c r="J1639" t="s">
        <v>77</v>
      </c>
      <c r="K1639" t="s">
        <v>78</v>
      </c>
      <c r="L1639" t="s">
        <v>176</v>
      </c>
      <c r="M1639" t="s">
        <v>177</v>
      </c>
      <c r="N1639" t="s">
        <v>2062</v>
      </c>
      <c r="O1639" t="s">
        <v>89</v>
      </c>
      <c r="P1639" t="str">
        <f>"4170073120                    "</f>
        <v xml:space="preserve">4170073120                    </v>
      </c>
      <c r="Q1639">
        <v>0</v>
      </c>
      <c r="R1639">
        <v>0</v>
      </c>
      <c r="S1639">
        <v>0</v>
      </c>
      <c r="T1639">
        <v>0</v>
      </c>
      <c r="U1639">
        <v>0</v>
      </c>
      <c r="V1639">
        <v>0</v>
      </c>
      <c r="W1639">
        <v>0</v>
      </c>
      <c r="X1639">
        <v>0</v>
      </c>
      <c r="Y1639">
        <v>0</v>
      </c>
      <c r="Z1639">
        <v>0</v>
      </c>
      <c r="AA1639">
        <v>0</v>
      </c>
      <c r="AB1639">
        <v>0</v>
      </c>
      <c r="AC1639">
        <v>0</v>
      </c>
      <c r="AD1639">
        <v>0</v>
      </c>
      <c r="AE1639">
        <v>0</v>
      </c>
      <c r="AF1639">
        <v>0</v>
      </c>
      <c r="AG1639">
        <v>0</v>
      </c>
      <c r="AH1639">
        <v>0</v>
      </c>
      <c r="AI1639">
        <v>0</v>
      </c>
      <c r="AJ1639">
        <v>0</v>
      </c>
      <c r="AK1639">
        <v>0</v>
      </c>
      <c r="AL1639">
        <v>0</v>
      </c>
      <c r="AM1639">
        <v>0</v>
      </c>
      <c r="AN1639">
        <v>0</v>
      </c>
      <c r="AO1639">
        <v>0</v>
      </c>
      <c r="AP1639">
        <v>0</v>
      </c>
      <c r="AQ1639">
        <v>19.940000000000001</v>
      </c>
      <c r="AR1639">
        <v>0</v>
      </c>
      <c r="AS1639">
        <v>0</v>
      </c>
      <c r="AT1639">
        <v>0</v>
      </c>
      <c r="AU1639">
        <v>0</v>
      </c>
      <c r="AV1639">
        <v>0</v>
      </c>
      <c r="AW1639">
        <v>0</v>
      </c>
      <c r="AX1639">
        <v>0</v>
      </c>
      <c r="AY1639">
        <v>0</v>
      </c>
      <c r="AZ1639">
        <v>0</v>
      </c>
      <c r="BA1639">
        <v>0</v>
      </c>
      <c r="BB1639">
        <v>0</v>
      </c>
      <c r="BC1639">
        <v>0</v>
      </c>
      <c r="BD1639">
        <v>0</v>
      </c>
      <c r="BE1639">
        <v>0</v>
      </c>
      <c r="BF1639">
        <v>0</v>
      </c>
      <c r="BG1639">
        <v>0</v>
      </c>
      <c r="BH1639">
        <v>1</v>
      </c>
      <c r="BI1639">
        <v>1</v>
      </c>
      <c r="BJ1639">
        <v>0.2</v>
      </c>
      <c r="BK1639">
        <v>1</v>
      </c>
      <c r="BL1639">
        <v>59.42</v>
      </c>
      <c r="BM1639">
        <v>8.91</v>
      </c>
      <c r="BN1639">
        <v>68.33</v>
      </c>
      <c r="BO1639">
        <v>68.33</v>
      </c>
      <c r="BQ1639" t="s">
        <v>2063</v>
      </c>
      <c r="BR1639" t="s">
        <v>82</v>
      </c>
      <c r="BS1639" t="s">
        <v>500</v>
      </c>
      <c r="BV1639" t="s">
        <v>87</v>
      </c>
      <c r="BY1639">
        <v>1200</v>
      </c>
      <c r="CC1639" t="s">
        <v>177</v>
      </c>
      <c r="CD1639">
        <v>2042</v>
      </c>
      <c r="CE1639" t="s">
        <v>134</v>
      </c>
      <c r="CI1639">
        <v>1</v>
      </c>
      <c r="CJ1639" t="s">
        <v>500</v>
      </c>
      <c r="CK1639">
        <v>22</v>
      </c>
      <c r="CL1639" t="s">
        <v>87</v>
      </c>
    </row>
    <row r="1640" spans="1:90" x14ac:dyDescent="0.3">
      <c r="A1640" t="s">
        <v>72</v>
      </c>
      <c r="B1640" t="s">
        <v>73</v>
      </c>
      <c r="C1640" t="s">
        <v>74</v>
      </c>
      <c r="E1640" t="str">
        <f>"080069852917"</f>
        <v>080069852917</v>
      </c>
      <c r="F1640" s="3">
        <v>46002</v>
      </c>
      <c r="G1640">
        <v>202609</v>
      </c>
      <c r="H1640" t="s">
        <v>75</v>
      </c>
      <c r="I1640" t="s">
        <v>76</v>
      </c>
      <c r="J1640" t="s">
        <v>77</v>
      </c>
      <c r="K1640" t="s">
        <v>78</v>
      </c>
      <c r="L1640" t="s">
        <v>2213</v>
      </c>
      <c r="M1640" t="s">
        <v>2214</v>
      </c>
      <c r="N1640" t="s">
        <v>2215</v>
      </c>
      <c r="O1640" t="s">
        <v>89</v>
      </c>
      <c r="P1640" t="str">
        <f>"4170073177                    "</f>
        <v xml:space="preserve">4170073177                    </v>
      </c>
      <c r="Q1640">
        <v>0</v>
      </c>
      <c r="R1640">
        <v>0</v>
      </c>
      <c r="S1640">
        <v>0</v>
      </c>
      <c r="T1640">
        <v>0</v>
      </c>
      <c r="U1640">
        <v>0</v>
      </c>
      <c r="V1640">
        <v>0</v>
      </c>
      <c r="W1640">
        <v>0</v>
      </c>
      <c r="X1640">
        <v>0</v>
      </c>
      <c r="Y1640">
        <v>0</v>
      </c>
      <c r="Z1640">
        <v>0</v>
      </c>
      <c r="AA1640">
        <v>0</v>
      </c>
      <c r="AB1640">
        <v>0</v>
      </c>
      <c r="AC1640">
        <v>0</v>
      </c>
      <c r="AD1640">
        <v>0</v>
      </c>
      <c r="AE1640">
        <v>0</v>
      </c>
      <c r="AF1640">
        <v>0</v>
      </c>
      <c r="AG1640">
        <v>0</v>
      </c>
      <c r="AH1640">
        <v>0</v>
      </c>
      <c r="AI1640">
        <v>0</v>
      </c>
      <c r="AJ1640">
        <v>0</v>
      </c>
      <c r="AK1640">
        <v>0</v>
      </c>
      <c r="AL1640">
        <v>0</v>
      </c>
      <c r="AM1640">
        <v>0</v>
      </c>
      <c r="AN1640">
        <v>0</v>
      </c>
      <c r="AO1640">
        <v>0</v>
      </c>
      <c r="AP1640">
        <v>0</v>
      </c>
      <c r="AQ1640">
        <v>49.45</v>
      </c>
      <c r="AR1640">
        <v>0</v>
      </c>
      <c r="AS1640">
        <v>0</v>
      </c>
      <c r="AT1640">
        <v>0</v>
      </c>
      <c r="AU1640">
        <v>0</v>
      </c>
      <c r="AV1640">
        <v>0</v>
      </c>
      <c r="AW1640">
        <v>0</v>
      </c>
      <c r="AX1640">
        <v>0</v>
      </c>
      <c r="AY1640">
        <v>0</v>
      </c>
      <c r="AZ1640">
        <v>0</v>
      </c>
      <c r="BA1640">
        <v>0</v>
      </c>
      <c r="BB1640">
        <v>0</v>
      </c>
      <c r="BC1640">
        <v>0</v>
      </c>
      <c r="BD1640">
        <v>0</v>
      </c>
      <c r="BE1640">
        <v>0</v>
      </c>
      <c r="BF1640">
        <v>0</v>
      </c>
      <c r="BG1640">
        <v>0</v>
      </c>
      <c r="BH1640">
        <v>1</v>
      </c>
      <c r="BI1640">
        <v>1</v>
      </c>
      <c r="BJ1640">
        <v>0.2</v>
      </c>
      <c r="BK1640">
        <v>1</v>
      </c>
      <c r="BL1640">
        <v>147.38</v>
      </c>
      <c r="BM1640">
        <v>22.11</v>
      </c>
      <c r="BN1640">
        <v>169.49</v>
      </c>
      <c r="BO1640">
        <v>169.49</v>
      </c>
      <c r="BQ1640" t="s">
        <v>2216</v>
      </c>
      <c r="BR1640" t="s">
        <v>82</v>
      </c>
      <c r="BS1640" t="s">
        <v>500</v>
      </c>
      <c r="BV1640" t="s">
        <v>87</v>
      </c>
      <c r="BY1640">
        <v>1200</v>
      </c>
      <c r="CC1640" t="s">
        <v>2214</v>
      </c>
      <c r="CD1640">
        <v>5850</v>
      </c>
      <c r="CE1640" t="s">
        <v>134</v>
      </c>
      <c r="CI1640">
        <v>2</v>
      </c>
      <c r="CJ1640" t="s">
        <v>500</v>
      </c>
      <c r="CK1640">
        <v>23</v>
      </c>
      <c r="CL1640" t="s">
        <v>87</v>
      </c>
    </row>
    <row r="1641" spans="1:90" x14ac:dyDescent="0.3">
      <c r="A1641" t="s">
        <v>72</v>
      </c>
      <c r="B1641" t="s">
        <v>73</v>
      </c>
      <c r="C1641" t="s">
        <v>74</v>
      </c>
      <c r="E1641" t="str">
        <f>"080069852949"</f>
        <v>080069852949</v>
      </c>
      <c r="F1641" s="3">
        <v>46002</v>
      </c>
      <c r="G1641">
        <v>202609</v>
      </c>
      <c r="H1641" t="s">
        <v>75</v>
      </c>
      <c r="I1641" t="s">
        <v>76</v>
      </c>
      <c r="J1641" t="s">
        <v>77</v>
      </c>
      <c r="K1641" t="s">
        <v>78</v>
      </c>
      <c r="L1641" t="s">
        <v>156</v>
      </c>
      <c r="M1641" t="s">
        <v>157</v>
      </c>
      <c r="N1641" t="s">
        <v>434</v>
      </c>
      <c r="O1641" t="s">
        <v>89</v>
      </c>
      <c r="P1641" t="str">
        <f>"4170073185                    "</f>
        <v xml:space="preserve">4170073185                    </v>
      </c>
      <c r="Q1641">
        <v>0</v>
      </c>
      <c r="R1641">
        <v>0</v>
      </c>
      <c r="S1641">
        <v>0</v>
      </c>
      <c r="T1641">
        <v>0</v>
      </c>
      <c r="U1641">
        <v>0</v>
      </c>
      <c r="V1641">
        <v>0</v>
      </c>
      <c r="W1641">
        <v>0</v>
      </c>
      <c r="X1641">
        <v>0</v>
      </c>
      <c r="Y1641">
        <v>0</v>
      </c>
      <c r="Z1641">
        <v>0</v>
      </c>
      <c r="AA1641">
        <v>0</v>
      </c>
      <c r="AB1641">
        <v>0</v>
      </c>
      <c r="AC1641">
        <v>0</v>
      </c>
      <c r="AD1641">
        <v>0</v>
      </c>
      <c r="AE1641">
        <v>0</v>
      </c>
      <c r="AF1641">
        <v>0</v>
      </c>
      <c r="AG1641">
        <v>0</v>
      </c>
      <c r="AH1641">
        <v>0</v>
      </c>
      <c r="AI1641">
        <v>0</v>
      </c>
      <c r="AJ1641">
        <v>0</v>
      </c>
      <c r="AK1641">
        <v>0</v>
      </c>
      <c r="AL1641">
        <v>0</v>
      </c>
      <c r="AM1641">
        <v>0</v>
      </c>
      <c r="AN1641">
        <v>0</v>
      </c>
      <c r="AO1641">
        <v>0</v>
      </c>
      <c r="AP1641">
        <v>0</v>
      </c>
      <c r="AQ1641">
        <v>25.52</v>
      </c>
      <c r="AR1641">
        <v>0</v>
      </c>
      <c r="AS1641">
        <v>0</v>
      </c>
      <c r="AT1641">
        <v>0</v>
      </c>
      <c r="AU1641">
        <v>0</v>
      </c>
      <c r="AV1641">
        <v>0</v>
      </c>
      <c r="AW1641">
        <v>0</v>
      </c>
      <c r="AX1641">
        <v>0</v>
      </c>
      <c r="AY1641">
        <v>0</v>
      </c>
      <c r="AZ1641">
        <v>0</v>
      </c>
      <c r="BA1641">
        <v>0</v>
      </c>
      <c r="BB1641">
        <v>0</v>
      </c>
      <c r="BC1641">
        <v>0</v>
      </c>
      <c r="BD1641">
        <v>0</v>
      </c>
      <c r="BE1641">
        <v>0</v>
      </c>
      <c r="BF1641">
        <v>0</v>
      </c>
      <c r="BG1641">
        <v>0</v>
      </c>
      <c r="BH1641">
        <v>1</v>
      </c>
      <c r="BI1641">
        <v>1</v>
      </c>
      <c r="BJ1641">
        <v>0.2</v>
      </c>
      <c r="BK1641">
        <v>1</v>
      </c>
      <c r="BL1641">
        <v>76.06</v>
      </c>
      <c r="BM1641">
        <v>11.41</v>
      </c>
      <c r="BN1641">
        <v>87.47</v>
      </c>
      <c r="BO1641">
        <v>87.47</v>
      </c>
      <c r="BQ1641" t="s">
        <v>435</v>
      </c>
      <c r="BR1641" t="s">
        <v>82</v>
      </c>
      <c r="BS1641" t="s">
        <v>500</v>
      </c>
      <c r="BV1641" t="s">
        <v>87</v>
      </c>
      <c r="BY1641">
        <v>1200</v>
      </c>
      <c r="CC1641" t="s">
        <v>157</v>
      </c>
      <c r="CD1641">
        <v>7441</v>
      </c>
      <c r="CE1641" t="s">
        <v>134</v>
      </c>
      <c r="CI1641">
        <v>1</v>
      </c>
      <c r="CJ1641" t="s">
        <v>500</v>
      </c>
      <c r="CK1641">
        <v>21</v>
      </c>
      <c r="CL1641" t="s">
        <v>87</v>
      </c>
    </row>
    <row r="1642" spans="1:90" x14ac:dyDescent="0.3">
      <c r="A1642" t="s">
        <v>72</v>
      </c>
      <c r="B1642" t="s">
        <v>73</v>
      </c>
      <c r="C1642" t="s">
        <v>74</v>
      </c>
      <c r="E1642" t="str">
        <f>"080069852993"</f>
        <v>080069852993</v>
      </c>
      <c r="F1642" s="3">
        <v>46002</v>
      </c>
      <c r="G1642">
        <v>202609</v>
      </c>
      <c r="H1642" t="s">
        <v>75</v>
      </c>
      <c r="I1642" t="s">
        <v>76</v>
      </c>
      <c r="J1642" t="s">
        <v>77</v>
      </c>
      <c r="K1642" t="s">
        <v>78</v>
      </c>
      <c r="L1642" t="s">
        <v>351</v>
      </c>
      <c r="M1642" t="s">
        <v>352</v>
      </c>
      <c r="N1642" t="s">
        <v>2211</v>
      </c>
      <c r="O1642" t="s">
        <v>89</v>
      </c>
      <c r="P1642" t="str">
        <f>"4170072584                    "</f>
        <v xml:space="preserve">4170072584                    </v>
      </c>
      <c r="Q1642">
        <v>0</v>
      </c>
      <c r="R1642">
        <v>0</v>
      </c>
      <c r="S1642">
        <v>0</v>
      </c>
      <c r="T1642">
        <v>0</v>
      </c>
      <c r="U1642">
        <v>0</v>
      </c>
      <c r="V1642">
        <v>0</v>
      </c>
      <c r="W1642">
        <v>0</v>
      </c>
      <c r="X1642">
        <v>0</v>
      </c>
      <c r="Y1642">
        <v>0</v>
      </c>
      <c r="Z1642">
        <v>0</v>
      </c>
      <c r="AA1642">
        <v>0</v>
      </c>
      <c r="AB1642">
        <v>0</v>
      </c>
      <c r="AC1642">
        <v>0</v>
      </c>
      <c r="AD1642">
        <v>0</v>
      </c>
      <c r="AE1642">
        <v>0</v>
      </c>
      <c r="AF1642">
        <v>0</v>
      </c>
      <c r="AG1642">
        <v>0</v>
      </c>
      <c r="AH1642">
        <v>0</v>
      </c>
      <c r="AI1642">
        <v>0</v>
      </c>
      <c r="AJ1642">
        <v>0</v>
      </c>
      <c r="AK1642">
        <v>0</v>
      </c>
      <c r="AL1642">
        <v>0</v>
      </c>
      <c r="AM1642">
        <v>0</v>
      </c>
      <c r="AN1642">
        <v>0</v>
      </c>
      <c r="AO1642">
        <v>0</v>
      </c>
      <c r="AP1642">
        <v>0</v>
      </c>
      <c r="AQ1642">
        <v>35.9</v>
      </c>
      <c r="AR1642">
        <v>0</v>
      </c>
      <c r="AS1642">
        <v>0</v>
      </c>
      <c r="AT1642">
        <v>0</v>
      </c>
      <c r="AU1642">
        <v>0</v>
      </c>
      <c r="AV1642">
        <v>0</v>
      </c>
      <c r="AW1642">
        <v>0</v>
      </c>
      <c r="AX1642">
        <v>0</v>
      </c>
      <c r="AY1642">
        <v>0</v>
      </c>
      <c r="AZ1642">
        <v>0</v>
      </c>
      <c r="BA1642">
        <v>0</v>
      </c>
      <c r="BB1642">
        <v>0</v>
      </c>
      <c r="BC1642">
        <v>0</v>
      </c>
      <c r="BD1642">
        <v>0</v>
      </c>
      <c r="BE1642">
        <v>0</v>
      </c>
      <c r="BF1642">
        <v>0</v>
      </c>
      <c r="BG1642">
        <v>0</v>
      </c>
      <c r="BH1642">
        <v>1</v>
      </c>
      <c r="BI1642">
        <v>1</v>
      </c>
      <c r="BJ1642">
        <v>0.2</v>
      </c>
      <c r="BK1642">
        <v>1</v>
      </c>
      <c r="BL1642">
        <v>106.98</v>
      </c>
      <c r="BM1642">
        <v>16.05</v>
      </c>
      <c r="BN1642">
        <v>123.03</v>
      </c>
      <c r="BO1642">
        <v>123.03</v>
      </c>
      <c r="BQ1642" t="s">
        <v>2212</v>
      </c>
      <c r="BR1642" t="s">
        <v>82</v>
      </c>
      <c r="BS1642" t="s">
        <v>500</v>
      </c>
      <c r="BV1642" t="s">
        <v>87</v>
      </c>
      <c r="BY1642">
        <v>1200</v>
      </c>
      <c r="CC1642" t="s">
        <v>352</v>
      </c>
      <c r="CD1642">
        <v>1438</v>
      </c>
      <c r="CE1642" t="s">
        <v>134</v>
      </c>
      <c r="CI1642">
        <v>1</v>
      </c>
      <c r="CJ1642" t="s">
        <v>500</v>
      </c>
      <c r="CK1642">
        <v>24</v>
      </c>
      <c r="CL1642" t="s">
        <v>87</v>
      </c>
    </row>
    <row r="1643" spans="1:90" x14ac:dyDescent="0.3">
      <c r="A1643" t="s">
        <v>72</v>
      </c>
      <c r="B1643" t="s">
        <v>73</v>
      </c>
      <c r="C1643" t="s">
        <v>74</v>
      </c>
      <c r="E1643" t="str">
        <f>"080069853023"</f>
        <v>080069853023</v>
      </c>
      <c r="F1643" s="3">
        <v>46002</v>
      </c>
      <c r="G1643">
        <v>202609</v>
      </c>
      <c r="H1643" t="s">
        <v>75</v>
      </c>
      <c r="I1643" t="s">
        <v>76</v>
      </c>
      <c r="J1643" t="s">
        <v>77</v>
      </c>
      <c r="K1643" t="s">
        <v>78</v>
      </c>
      <c r="L1643" t="s">
        <v>156</v>
      </c>
      <c r="M1643" t="s">
        <v>157</v>
      </c>
      <c r="N1643" t="s">
        <v>1644</v>
      </c>
      <c r="O1643" t="s">
        <v>89</v>
      </c>
      <c r="P1643" t="str">
        <f>"4170073152                    "</f>
        <v xml:space="preserve">4170073152                    </v>
      </c>
      <c r="Q1643">
        <v>0</v>
      </c>
      <c r="R1643">
        <v>0</v>
      </c>
      <c r="S1643">
        <v>0</v>
      </c>
      <c r="T1643">
        <v>0</v>
      </c>
      <c r="U1643">
        <v>0</v>
      </c>
      <c r="V1643">
        <v>0</v>
      </c>
      <c r="W1643">
        <v>0</v>
      </c>
      <c r="X1643">
        <v>0</v>
      </c>
      <c r="Y1643">
        <v>0</v>
      </c>
      <c r="Z1643">
        <v>0</v>
      </c>
      <c r="AA1643">
        <v>0</v>
      </c>
      <c r="AB1643">
        <v>0</v>
      </c>
      <c r="AC1643">
        <v>0</v>
      </c>
      <c r="AD1643">
        <v>0</v>
      </c>
      <c r="AE1643">
        <v>0</v>
      </c>
      <c r="AF1643">
        <v>0</v>
      </c>
      <c r="AG1643">
        <v>0</v>
      </c>
      <c r="AH1643">
        <v>0</v>
      </c>
      <c r="AI1643">
        <v>0</v>
      </c>
      <c r="AJ1643">
        <v>0</v>
      </c>
      <c r="AK1643">
        <v>0</v>
      </c>
      <c r="AL1643">
        <v>0</v>
      </c>
      <c r="AM1643">
        <v>0</v>
      </c>
      <c r="AN1643">
        <v>0</v>
      </c>
      <c r="AO1643">
        <v>0</v>
      </c>
      <c r="AP1643">
        <v>0</v>
      </c>
      <c r="AQ1643">
        <v>25.52</v>
      </c>
      <c r="AR1643">
        <v>0</v>
      </c>
      <c r="AS1643">
        <v>0</v>
      </c>
      <c r="AT1643">
        <v>0</v>
      </c>
      <c r="AU1643">
        <v>0</v>
      </c>
      <c r="AV1643">
        <v>0</v>
      </c>
      <c r="AW1643">
        <v>0</v>
      </c>
      <c r="AX1643">
        <v>0</v>
      </c>
      <c r="AY1643">
        <v>0</v>
      </c>
      <c r="AZ1643">
        <v>0</v>
      </c>
      <c r="BA1643">
        <v>0</v>
      </c>
      <c r="BB1643">
        <v>0</v>
      </c>
      <c r="BC1643">
        <v>0</v>
      </c>
      <c r="BD1643">
        <v>0</v>
      </c>
      <c r="BE1643">
        <v>0</v>
      </c>
      <c r="BF1643">
        <v>0</v>
      </c>
      <c r="BG1643">
        <v>0</v>
      </c>
      <c r="BH1643">
        <v>1</v>
      </c>
      <c r="BI1643">
        <v>1</v>
      </c>
      <c r="BJ1643">
        <v>1.3</v>
      </c>
      <c r="BK1643">
        <v>1.5</v>
      </c>
      <c r="BL1643">
        <v>76.06</v>
      </c>
      <c r="BM1643">
        <v>11.41</v>
      </c>
      <c r="BN1643">
        <v>87.47</v>
      </c>
      <c r="BO1643">
        <v>87.47</v>
      </c>
      <c r="BQ1643" t="s">
        <v>1645</v>
      </c>
      <c r="BR1643" t="s">
        <v>82</v>
      </c>
      <c r="BS1643" t="s">
        <v>500</v>
      </c>
      <c r="BV1643" t="s">
        <v>87</v>
      </c>
      <c r="BY1643">
        <v>6612</v>
      </c>
      <c r="CC1643" t="s">
        <v>157</v>
      </c>
      <c r="CD1643">
        <v>7480</v>
      </c>
      <c r="CE1643" t="s">
        <v>86</v>
      </c>
      <c r="CI1643">
        <v>1</v>
      </c>
      <c r="CJ1643" t="s">
        <v>500</v>
      </c>
      <c r="CK1643">
        <v>21</v>
      </c>
      <c r="CL1643" t="s">
        <v>87</v>
      </c>
    </row>
    <row r="1644" spans="1:90" x14ac:dyDescent="0.3">
      <c r="A1644" t="s">
        <v>72</v>
      </c>
      <c r="B1644" t="s">
        <v>73</v>
      </c>
      <c r="C1644" t="s">
        <v>74</v>
      </c>
      <c r="E1644" t="str">
        <f>"080069853035"</f>
        <v>080069853035</v>
      </c>
      <c r="F1644" s="3">
        <v>46002</v>
      </c>
      <c r="G1644">
        <v>202609</v>
      </c>
      <c r="H1644" t="s">
        <v>75</v>
      </c>
      <c r="I1644" t="s">
        <v>76</v>
      </c>
      <c r="J1644" t="s">
        <v>77</v>
      </c>
      <c r="K1644" t="s">
        <v>78</v>
      </c>
      <c r="L1644" t="s">
        <v>75</v>
      </c>
      <c r="M1644" t="s">
        <v>76</v>
      </c>
      <c r="N1644" t="s">
        <v>88</v>
      </c>
      <c r="O1644" t="s">
        <v>89</v>
      </c>
      <c r="P1644" t="str">
        <f>"4170073206                    "</f>
        <v xml:space="preserve">4170073206                    </v>
      </c>
      <c r="Q1644">
        <v>0</v>
      </c>
      <c r="R1644">
        <v>0</v>
      </c>
      <c r="S1644">
        <v>0</v>
      </c>
      <c r="T1644">
        <v>0</v>
      </c>
      <c r="U1644">
        <v>0</v>
      </c>
      <c r="V1644">
        <v>0</v>
      </c>
      <c r="W1644">
        <v>0</v>
      </c>
      <c r="X1644">
        <v>0</v>
      </c>
      <c r="Y1644">
        <v>0</v>
      </c>
      <c r="Z1644">
        <v>0</v>
      </c>
      <c r="AA1644">
        <v>0</v>
      </c>
      <c r="AB1644">
        <v>0</v>
      </c>
      <c r="AC1644">
        <v>0</v>
      </c>
      <c r="AD1644">
        <v>0</v>
      </c>
      <c r="AE1644">
        <v>0</v>
      </c>
      <c r="AF1644">
        <v>0</v>
      </c>
      <c r="AG1644">
        <v>0</v>
      </c>
      <c r="AH1644">
        <v>0</v>
      </c>
      <c r="AI1644">
        <v>0</v>
      </c>
      <c r="AJ1644">
        <v>0</v>
      </c>
      <c r="AK1644">
        <v>0</v>
      </c>
      <c r="AL1644">
        <v>0</v>
      </c>
      <c r="AM1644">
        <v>0</v>
      </c>
      <c r="AN1644">
        <v>0</v>
      </c>
      <c r="AO1644">
        <v>0</v>
      </c>
      <c r="AP1644">
        <v>0</v>
      </c>
      <c r="AQ1644">
        <v>19.940000000000001</v>
      </c>
      <c r="AR1644">
        <v>0</v>
      </c>
      <c r="AS1644">
        <v>0</v>
      </c>
      <c r="AT1644">
        <v>0</v>
      </c>
      <c r="AU1644">
        <v>0</v>
      </c>
      <c r="AV1644">
        <v>0</v>
      </c>
      <c r="AW1644">
        <v>0</v>
      </c>
      <c r="AX1644">
        <v>0</v>
      </c>
      <c r="AY1644">
        <v>0</v>
      </c>
      <c r="AZ1644">
        <v>0</v>
      </c>
      <c r="BA1644">
        <v>0</v>
      </c>
      <c r="BB1644">
        <v>0</v>
      </c>
      <c r="BC1644">
        <v>0</v>
      </c>
      <c r="BD1644">
        <v>0</v>
      </c>
      <c r="BE1644">
        <v>0</v>
      </c>
      <c r="BF1644">
        <v>0</v>
      </c>
      <c r="BG1644">
        <v>0</v>
      </c>
      <c r="BH1644">
        <v>1</v>
      </c>
      <c r="BI1644">
        <v>1</v>
      </c>
      <c r="BJ1644">
        <v>0.2</v>
      </c>
      <c r="BK1644">
        <v>1</v>
      </c>
      <c r="BL1644">
        <v>59.42</v>
      </c>
      <c r="BM1644">
        <v>8.91</v>
      </c>
      <c r="BN1644">
        <v>68.33</v>
      </c>
      <c r="BO1644">
        <v>68.33</v>
      </c>
      <c r="BQ1644" t="s">
        <v>90</v>
      </c>
      <c r="BR1644" t="s">
        <v>82</v>
      </c>
      <c r="BS1644" s="3">
        <v>46003</v>
      </c>
      <c r="BT1644" s="4">
        <v>0.29930555555555555</v>
      </c>
      <c r="BU1644" t="s">
        <v>91</v>
      </c>
      <c r="BV1644" t="s">
        <v>84</v>
      </c>
      <c r="BY1644">
        <v>1200</v>
      </c>
      <c r="CA1644" t="s">
        <v>92</v>
      </c>
      <c r="CC1644" t="s">
        <v>76</v>
      </c>
      <c r="CD1644">
        <v>1600</v>
      </c>
      <c r="CE1644" t="s">
        <v>134</v>
      </c>
      <c r="CI1644">
        <v>1</v>
      </c>
      <c r="CJ1644">
        <v>1</v>
      </c>
      <c r="CK1644">
        <v>22</v>
      </c>
      <c r="CL1644" t="s">
        <v>87</v>
      </c>
    </row>
    <row r="1645" spans="1:90" x14ac:dyDescent="0.3">
      <c r="A1645" t="s">
        <v>72</v>
      </c>
      <c r="B1645" t="s">
        <v>73</v>
      </c>
      <c r="C1645" t="s">
        <v>74</v>
      </c>
      <c r="E1645" t="str">
        <f>"080069853071"</f>
        <v>080069853071</v>
      </c>
      <c r="F1645" s="3">
        <v>46002</v>
      </c>
      <c r="G1645">
        <v>202609</v>
      </c>
      <c r="H1645" t="s">
        <v>75</v>
      </c>
      <c r="I1645" t="s">
        <v>76</v>
      </c>
      <c r="J1645" t="s">
        <v>77</v>
      </c>
      <c r="K1645" t="s">
        <v>78</v>
      </c>
      <c r="L1645" t="s">
        <v>943</v>
      </c>
      <c r="M1645" t="s">
        <v>944</v>
      </c>
      <c r="N1645" t="s">
        <v>1253</v>
      </c>
      <c r="O1645" t="s">
        <v>89</v>
      </c>
      <c r="P1645" t="str">
        <f>"4170073178                    "</f>
        <v xml:space="preserve">4170073178                    </v>
      </c>
      <c r="Q1645">
        <v>0</v>
      </c>
      <c r="R1645">
        <v>0</v>
      </c>
      <c r="S1645">
        <v>0</v>
      </c>
      <c r="T1645">
        <v>0</v>
      </c>
      <c r="U1645">
        <v>0</v>
      </c>
      <c r="V1645">
        <v>0</v>
      </c>
      <c r="W1645">
        <v>0</v>
      </c>
      <c r="X1645">
        <v>0</v>
      </c>
      <c r="Y1645">
        <v>0</v>
      </c>
      <c r="Z1645">
        <v>0</v>
      </c>
      <c r="AA1645">
        <v>0</v>
      </c>
      <c r="AB1645">
        <v>0</v>
      </c>
      <c r="AC1645">
        <v>0</v>
      </c>
      <c r="AD1645">
        <v>0</v>
      </c>
      <c r="AE1645">
        <v>0</v>
      </c>
      <c r="AF1645">
        <v>0</v>
      </c>
      <c r="AG1645">
        <v>0</v>
      </c>
      <c r="AH1645">
        <v>0</v>
      </c>
      <c r="AI1645">
        <v>0</v>
      </c>
      <c r="AJ1645">
        <v>0</v>
      </c>
      <c r="AK1645">
        <v>0</v>
      </c>
      <c r="AL1645">
        <v>0</v>
      </c>
      <c r="AM1645">
        <v>0</v>
      </c>
      <c r="AN1645">
        <v>0</v>
      </c>
      <c r="AO1645">
        <v>0</v>
      </c>
      <c r="AP1645">
        <v>0</v>
      </c>
      <c r="AQ1645">
        <v>19.940000000000001</v>
      </c>
      <c r="AR1645">
        <v>0</v>
      </c>
      <c r="AS1645">
        <v>0</v>
      </c>
      <c r="AT1645">
        <v>0</v>
      </c>
      <c r="AU1645">
        <v>0</v>
      </c>
      <c r="AV1645">
        <v>0</v>
      </c>
      <c r="AW1645">
        <v>0</v>
      </c>
      <c r="AX1645">
        <v>0</v>
      </c>
      <c r="AY1645">
        <v>0</v>
      </c>
      <c r="AZ1645">
        <v>0</v>
      </c>
      <c r="BA1645">
        <v>0</v>
      </c>
      <c r="BB1645">
        <v>0</v>
      </c>
      <c r="BC1645">
        <v>0</v>
      </c>
      <c r="BD1645">
        <v>0</v>
      </c>
      <c r="BE1645">
        <v>0</v>
      </c>
      <c r="BF1645">
        <v>0</v>
      </c>
      <c r="BG1645">
        <v>0</v>
      </c>
      <c r="BH1645">
        <v>1</v>
      </c>
      <c r="BI1645">
        <v>1</v>
      </c>
      <c r="BJ1645">
        <v>0.2</v>
      </c>
      <c r="BK1645">
        <v>1</v>
      </c>
      <c r="BL1645">
        <v>59.42</v>
      </c>
      <c r="BM1645">
        <v>8.91</v>
      </c>
      <c r="BN1645">
        <v>68.33</v>
      </c>
      <c r="BO1645">
        <v>68.33</v>
      </c>
      <c r="BQ1645" t="s">
        <v>1254</v>
      </c>
      <c r="BR1645" t="s">
        <v>82</v>
      </c>
      <c r="BS1645" t="s">
        <v>500</v>
      </c>
      <c r="BV1645" t="s">
        <v>87</v>
      </c>
      <c r="BY1645">
        <v>1200</v>
      </c>
      <c r="CC1645" t="s">
        <v>944</v>
      </c>
      <c r="CD1645">
        <v>1682</v>
      </c>
      <c r="CE1645" t="s">
        <v>134</v>
      </c>
      <c r="CI1645">
        <v>1</v>
      </c>
      <c r="CJ1645" t="s">
        <v>500</v>
      </c>
      <c r="CK1645">
        <v>22</v>
      </c>
      <c r="CL1645" t="s">
        <v>87</v>
      </c>
    </row>
    <row r="1646" spans="1:90" x14ac:dyDescent="0.3">
      <c r="A1646" t="s">
        <v>72</v>
      </c>
      <c r="B1646" t="s">
        <v>73</v>
      </c>
      <c r="C1646" t="s">
        <v>74</v>
      </c>
      <c r="E1646" t="str">
        <f>"080069853081"</f>
        <v>080069853081</v>
      </c>
      <c r="F1646" s="3">
        <v>46002</v>
      </c>
      <c r="G1646">
        <v>202609</v>
      </c>
      <c r="H1646" t="s">
        <v>75</v>
      </c>
      <c r="I1646" t="s">
        <v>76</v>
      </c>
      <c r="J1646" t="s">
        <v>77</v>
      </c>
      <c r="K1646" t="s">
        <v>78</v>
      </c>
      <c r="L1646" t="s">
        <v>100</v>
      </c>
      <c r="M1646" t="s">
        <v>101</v>
      </c>
      <c r="N1646" t="s">
        <v>102</v>
      </c>
      <c r="O1646" t="s">
        <v>89</v>
      </c>
      <c r="P1646" t="str">
        <f>"4170073157                    "</f>
        <v xml:space="preserve">4170073157                    </v>
      </c>
      <c r="Q1646">
        <v>0</v>
      </c>
      <c r="R1646">
        <v>0</v>
      </c>
      <c r="S1646">
        <v>0</v>
      </c>
      <c r="T1646">
        <v>0</v>
      </c>
      <c r="U1646">
        <v>0</v>
      </c>
      <c r="V1646">
        <v>0</v>
      </c>
      <c r="W1646">
        <v>0</v>
      </c>
      <c r="X1646">
        <v>0</v>
      </c>
      <c r="Y1646">
        <v>0</v>
      </c>
      <c r="Z1646">
        <v>0</v>
      </c>
      <c r="AA1646">
        <v>0</v>
      </c>
      <c r="AB1646">
        <v>0</v>
      </c>
      <c r="AC1646">
        <v>0</v>
      </c>
      <c r="AD1646">
        <v>0</v>
      </c>
      <c r="AE1646">
        <v>0</v>
      </c>
      <c r="AF1646">
        <v>0</v>
      </c>
      <c r="AG1646">
        <v>0</v>
      </c>
      <c r="AH1646">
        <v>0</v>
      </c>
      <c r="AI1646">
        <v>0</v>
      </c>
      <c r="AJ1646">
        <v>0</v>
      </c>
      <c r="AK1646">
        <v>0</v>
      </c>
      <c r="AL1646">
        <v>0</v>
      </c>
      <c r="AM1646">
        <v>0</v>
      </c>
      <c r="AN1646">
        <v>0</v>
      </c>
      <c r="AO1646">
        <v>0</v>
      </c>
      <c r="AP1646">
        <v>0</v>
      </c>
      <c r="AQ1646">
        <v>25.52</v>
      </c>
      <c r="AR1646">
        <v>0</v>
      </c>
      <c r="AS1646">
        <v>0</v>
      </c>
      <c r="AT1646">
        <v>0</v>
      </c>
      <c r="AU1646">
        <v>0</v>
      </c>
      <c r="AV1646">
        <v>0</v>
      </c>
      <c r="AW1646">
        <v>0</v>
      </c>
      <c r="AX1646">
        <v>0</v>
      </c>
      <c r="AY1646">
        <v>0</v>
      </c>
      <c r="AZ1646">
        <v>0</v>
      </c>
      <c r="BA1646">
        <v>0</v>
      </c>
      <c r="BB1646">
        <v>0</v>
      </c>
      <c r="BC1646">
        <v>0</v>
      </c>
      <c r="BD1646">
        <v>0</v>
      </c>
      <c r="BE1646">
        <v>0</v>
      </c>
      <c r="BF1646">
        <v>0</v>
      </c>
      <c r="BG1646">
        <v>0</v>
      </c>
      <c r="BH1646">
        <v>1</v>
      </c>
      <c r="BI1646">
        <v>1</v>
      </c>
      <c r="BJ1646">
        <v>1.1000000000000001</v>
      </c>
      <c r="BK1646">
        <v>1.5</v>
      </c>
      <c r="BL1646">
        <v>76.06</v>
      </c>
      <c r="BM1646">
        <v>11.41</v>
      </c>
      <c r="BN1646">
        <v>87.47</v>
      </c>
      <c r="BO1646">
        <v>87.47</v>
      </c>
      <c r="BQ1646" t="s">
        <v>103</v>
      </c>
      <c r="BR1646" t="s">
        <v>82</v>
      </c>
      <c r="BS1646" t="s">
        <v>500</v>
      </c>
      <c r="BV1646" t="s">
        <v>87</v>
      </c>
      <c r="BY1646">
        <v>5510</v>
      </c>
      <c r="CC1646" t="s">
        <v>101</v>
      </c>
      <c r="CD1646">
        <v>4051</v>
      </c>
      <c r="CE1646" t="s">
        <v>86</v>
      </c>
      <c r="CI1646">
        <v>1</v>
      </c>
      <c r="CJ1646" t="s">
        <v>500</v>
      </c>
      <c r="CK1646">
        <v>21</v>
      </c>
      <c r="CL1646" t="s">
        <v>87</v>
      </c>
    </row>
    <row r="1647" spans="1:90" x14ac:dyDescent="0.3">
      <c r="A1647" t="s">
        <v>72</v>
      </c>
      <c r="B1647" t="s">
        <v>73</v>
      </c>
      <c r="C1647" t="s">
        <v>74</v>
      </c>
      <c r="E1647" t="str">
        <f>"080069853104"</f>
        <v>080069853104</v>
      </c>
      <c r="F1647" s="3">
        <v>46002</v>
      </c>
      <c r="G1647">
        <v>202609</v>
      </c>
      <c r="H1647" t="s">
        <v>75</v>
      </c>
      <c r="I1647" t="s">
        <v>76</v>
      </c>
      <c r="J1647" t="s">
        <v>77</v>
      </c>
      <c r="K1647" t="s">
        <v>78</v>
      </c>
      <c r="L1647" t="s">
        <v>75</v>
      </c>
      <c r="M1647" t="s">
        <v>76</v>
      </c>
      <c r="N1647" t="s">
        <v>88</v>
      </c>
      <c r="O1647" t="s">
        <v>89</v>
      </c>
      <c r="P1647" t="str">
        <f>"4170073207                    "</f>
        <v xml:space="preserve">4170073207                    </v>
      </c>
      <c r="Q1647">
        <v>0</v>
      </c>
      <c r="R1647">
        <v>0</v>
      </c>
      <c r="S1647">
        <v>0</v>
      </c>
      <c r="T1647">
        <v>0</v>
      </c>
      <c r="U1647">
        <v>0</v>
      </c>
      <c r="V1647">
        <v>0</v>
      </c>
      <c r="W1647">
        <v>0</v>
      </c>
      <c r="X1647">
        <v>0</v>
      </c>
      <c r="Y1647">
        <v>0</v>
      </c>
      <c r="Z1647">
        <v>0</v>
      </c>
      <c r="AA1647">
        <v>0</v>
      </c>
      <c r="AB1647">
        <v>0</v>
      </c>
      <c r="AC1647">
        <v>0</v>
      </c>
      <c r="AD1647">
        <v>0</v>
      </c>
      <c r="AE1647">
        <v>0</v>
      </c>
      <c r="AF1647">
        <v>0</v>
      </c>
      <c r="AG1647">
        <v>0</v>
      </c>
      <c r="AH1647">
        <v>0</v>
      </c>
      <c r="AI1647">
        <v>0</v>
      </c>
      <c r="AJ1647">
        <v>0</v>
      </c>
      <c r="AK1647">
        <v>0</v>
      </c>
      <c r="AL1647">
        <v>0</v>
      </c>
      <c r="AM1647">
        <v>0</v>
      </c>
      <c r="AN1647">
        <v>0</v>
      </c>
      <c r="AO1647">
        <v>0</v>
      </c>
      <c r="AP1647">
        <v>0</v>
      </c>
      <c r="AQ1647">
        <v>19.940000000000001</v>
      </c>
      <c r="AR1647">
        <v>0</v>
      </c>
      <c r="AS1647">
        <v>0</v>
      </c>
      <c r="AT1647">
        <v>0</v>
      </c>
      <c r="AU1647">
        <v>0</v>
      </c>
      <c r="AV1647">
        <v>0</v>
      </c>
      <c r="AW1647">
        <v>0</v>
      </c>
      <c r="AX1647">
        <v>0</v>
      </c>
      <c r="AY1647">
        <v>0</v>
      </c>
      <c r="AZ1647">
        <v>0</v>
      </c>
      <c r="BA1647">
        <v>0</v>
      </c>
      <c r="BB1647">
        <v>0</v>
      </c>
      <c r="BC1647">
        <v>0</v>
      </c>
      <c r="BD1647">
        <v>0</v>
      </c>
      <c r="BE1647">
        <v>0</v>
      </c>
      <c r="BF1647">
        <v>0</v>
      </c>
      <c r="BG1647">
        <v>0</v>
      </c>
      <c r="BH1647">
        <v>1</v>
      </c>
      <c r="BI1647">
        <v>1</v>
      </c>
      <c r="BJ1647">
        <v>0.2</v>
      </c>
      <c r="BK1647">
        <v>1</v>
      </c>
      <c r="BL1647">
        <v>59.42</v>
      </c>
      <c r="BM1647">
        <v>8.91</v>
      </c>
      <c r="BN1647">
        <v>68.33</v>
      </c>
      <c r="BO1647">
        <v>68.33</v>
      </c>
      <c r="BQ1647" t="s">
        <v>90</v>
      </c>
      <c r="BR1647" t="s">
        <v>82</v>
      </c>
      <c r="BS1647" s="3">
        <v>46003</v>
      </c>
      <c r="BT1647" s="4">
        <v>0.3</v>
      </c>
      <c r="BU1647" t="s">
        <v>91</v>
      </c>
      <c r="BV1647" t="s">
        <v>84</v>
      </c>
      <c r="BY1647">
        <v>1200</v>
      </c>
      <c r="CA1647" t="s">
        <v>92</v>
      </c>
      <c r="CC1647" t="s">
        <v>76</v>
      </c>
      <c r="CD1647">
        <v>1600</v>
      </c>
      <c r="CE1647" t="s">
        <v>134</v>
      </c>
      <c r="CI1647">
        <v>1</v>
      </c>
      <c r="CJ1647">
        <v>1</v>
      </c>
      <c r="CK1647">
        <v>22</v>
      </c>
      <c r="CL1647" t="s">
        <v>87</v>
      </c>
    </row>
    <row r="1648" spans="1:90" x14ac:dyDescent="0.3">
      <c r="A1648" t="s">
        <v>72</v>
      </c>
      <c r="B1648" t="s">
        <v>73</v>
      </c>
      <c r="C1648" t="s">
        <v>74</v>
      </c>
      <c r="E1648" t="str">
        <f>"080069853120"</f>
        <v>080069853120</v>
      </c>
      <c r="F1648" s="3">
        <v>46002</v>
      </c>
      <c r="G1648">
        <v>202609</v>
      </c>
      <c r="H1648" t="s">
        <v>75</v>
      </c>
      <c r="I1648" t="s">
        <v>76</v>
      </c>
      <c r="J1648" t="s">
        <v>77</v>
      </c>
      <c r="K1648" t="s">
        <v>78</v>
      </c>
      <c r="L1648" t="s">
        <v>75</v>
      </c>
      <c r="M1648" t="s">
        <v>76</v>
      </c>
      <c r="N1648" t="s">
        <v>328</v>
      </c>
      <c r="O1648" t="s">
        <v>340</v>
      </c>
      <c r="P1648" t="str">
        <f>"4170072986                    "</f>
        <v xml:space="preserve">4170072986                    </v>
      </c>
      <c r="Q1648">
        <v>0</v>
      </c>
      <c r="R1648">
        <v>0</v>
      </c>
      <c r="S1648">
        <v>0</v>
      </c>
      <c r="T1648">
        <v>0</v>
      </c>
      <c r="U1648">
        <v>0</v>
      </c>
      <c r="V1648">
        <v>0</v>
      </c>
      <c r="W1648">
        <v>0</v>
      </c>
      <c r="X1648">
        <v>0</v>
      </c>
      <c r="Y1648">
        <v>0</v>
      </c>
      <c r="Z1648">
        <v>0</v>
      </c>
      <c r="AA1648">
        <v>0</v>
      </c>
      <c r="AB1648">
        <v>0</v>
      </c>
      <c r="AC1648">
        <v>0</v>
      </c>
      <c r="AD1648">
        <v>0</v>
      </c>
      <c r="AE1648">
        <v>0</v>
      </c>
      <c r="AF1648">
        <v>0</v>
      </c>
      <c r="AG1648">
        <v>0</v>
      </c>
      <c r="AH1648">
        <v>0</v>
      </c>
      <c r="AI1648">
        <v>0</v>
      </c>
      <c r="AJ1648">
        <v>0</v>
      </c>
      <c r="AK1648">
        <v>0</v>
      </c>
      <c r="AL1648">
        <v>0</v>
      </c>
      <c r="AM1648">
        <v>0</v>
      </c>
      <c r="AN1648">
        <v>0</v>
      </c>
      <c r="AO1648">
        <v>0</v>
      </c>
      <c r="AP1648">
        <v>0</v>
      </c>
      <c r="AQ1648">
        <v>33.369999999999997</v>
      </c>
      <c r="AR1648">
        <v>0</v>
      </c>
      <c r="AS1648">
        <v>0</v>
      </c>
      <c r="AT1648">
        <v>0</v>
      </c>
      <c r="AU1648">
        <v>0</v>
      </c>
      <c r="AV1648">
        <v>0</v>
      </c>
      <c r="AW1648">
        <v>0</v>
      </c>
      <c r="AX1648">
        <v>0</v>
      </c>
      <c r="AY1648">
        <v>0</v>
      </c>
      <c r="AZ1648">
        <v>0</v>
      </c>
      <c r="BA1648">
        <v>0</v>
      </c>
      <c r="BB1648">
        <v>0</v>
      </c>
      <c r="BC1648">
        <v>0</v>
      </c>
      <c r="BD1648">
        <v>0</v>
      </c>
      <c r="BE1648">
        <v>0</v>
      </c>
      <c r="BF1648">
        <v>0</v>
      </c>
      <c r="BG1648">
        <v>0</v>
      </c>
      <c r="BH1648">
        <v>1</v>
      </c>
      <c r="BI1648">
        <v>14</v>
      </c>
      <c r="BJ1648">
        <v>5.4</v>
      </c>
      <c r="BK1648">
        <v>14</v>
      </c>
      <c r="BL1648">
        <v>99.44</v>
      </c>
      <c r="BM1648">
        <v>14.92</v>
      </c>
      <c r="BN1648">
        <v>114.36</v>
      </c>
      <c r="BO1648">
        <v>114.36</v>
      </c>
      <c r="BQ1648" t="s">
        <v>329</v>
      </c>
      <c r="BR1648" t="s">
        <v>82</v>
      </c>
      <c r="BS1648" t="s">
        <v>500</v>
      </c>
      <c r="BV1648" t="s">
        <v>87</v>
      </c>
      <c r="BY1648">
        <v>27040</v>
      </c>
      <c r="CC1648" t="s">
        <v>76</v>
      </c>
      <c r="CD1648">
        <v>1645</v>
      </c>
      <c r="CE1648" t="s">
        <v>93</v>
      </c>
      <c r="CI1648">
        <v>1</v>
      </c>
      <c r="CJ1648" t="s">
        <v>500</v>
      </c>
      <c r="CK1648">
        <v>32</v>
      </c>
      <c r="CL1648" t="s">
        <v>87</v>
      </c>
    </row>
    <row r="1649" spans="1:90" x14ac:dyDescent="0.3">
      <c r="A1649" t="s">
        <v>72</v>
      </c>
      <c r="B1649" t="s">
        <v>73</v>
      </c>
      <c r="C1649" t="s">
        <v>74</v>
      </c>
      <c r="E1649" t="str">
        <f>"080069853129"</f>
        <v>080069853129</v>
      </c>
      <c r="F1649" s="3">
        <v>46002</v>
      </c>
      <c r="G1649">
        <v>202609</v>
      </c>
      <c r="H1649" t="s">
        <v>75</v>
      </c>
      <c r="I1649" t="s">
        <v>76</v>
      </c>
      <c r="J1649" t="s">
        <v>77</v>
      </c>
      <c r="K1649" t="s">
        <v>78</v>
      </c>
      <c r="L1649" t="s">
        <v>156</v>
      </c>
      <c r="M1649" t="s">
        <v>157</v>
      </c>
      <c r="N1649" t="s">
        <v>470</v>
      </c>
      <c r="O1649" t="s">
        <v>89</v>
      </c>
      <c r="P1649" t="str">
        <f>"4170072966                    "</f>
        <v xml:space="preserve">4170072966                    </v>
      </c>
      <c r="Q1649">
        <v>0</v>
      </c>
      <c r="R1649">
        <v>0</v>
      </c>
      <c r="S1649">
        <v>0</v>
      </c>
      <c r="T1649">
        <v>0</v>
      </c>
      <c r="U1649">
        <v>0</v>
      </c>
      <c r="V1649">
        <v>0</v>
      </c>
      <c r="W1649">
        <v>0</v>
      </c>
      <c r="X1649">
        <v>0</v>
      </c>
      <c r="Y1649">
        <v>0</v>
      </c>
      <c r="Z1649">
        <v>0</v>
      </c>
      <c r="AA1649">
        <v>0</v>
      </c>
      <c r="AB1649">
        <v>0</v>
      </c>
      <c r="AC1649">
        <v>0</v>
      </c>
      <c r="AD1649">
        <v>0</v>
      </c>
      <c r="AE1649">
        <v>0</v>
      </c>
      <c r="AF1649">
        <v>0</v>
      </c>
      <c r="AG1649">
        <v>0</v>
      </c>
      <c r="AH1649">
        <v>0</v>
      </c>
      <c r="AI1649">
        <v>0</v>
      </c>
      <c r="AJ1649">
        <v>0</v>
      </c>
      <c r="AK1649">
        <v>0</v>
      </c>
      <c r="AL1649">
        <v>0</v>
      </c>
      <c r="AM1649">
        <v>0</v>
      </c>
      <c r="AN1649">
        <v>0</v>
      </c>
      <c r="AO1649">
        <v>0</v>
      </c>
      <c r="AP1649">
        <v>0</v>
      </c>
      <c r="AQ1649">
        <v>25.52</v>
      </c>
      <c r="AR1649">
        <v>0</v>
      </c>
      <c r="AS1649">
        <v>0</v>
      </c>
      <c r="AT1649">
        <v>0</v>
      </c>
      <c r="AU1649">
        <v>0</v>
      </c>
      <c r="AV1649">
        <v>0</v>
      </c>
      <c r="AW1649">
        <v>0</v>
      </c>
      <c r="AX1649">
        <v>0</v>
      </c>
      <c r="AY1649">
        <v>0</v>
      </c>
      <c r="AZ1649">
        <v>0</v>
      </c>
      <c r="BA1649">
        <v>0</v>
      </c>
      <c r="BB1649">
        <v>0</v>
      </c>
      <c r="BC1649">
        <v>0</v>
      </c>
      <c r="BD1649">
        <v>0</v>
      </c>
      <c r="BE1649">
        <v>0</v>
      </c>
      <c r="BF1649">
        <v>0</v>
      </c>
      <c r="BG1649">
        <v>0</v>
      </c>
      <c r="BH1649">
        <v>1</v>
      </c>
      <c r="BI1649">
        <v>1</v>
      </c>
      <c r="BJ1649">
        <v>0.2</v>
      </c>
      <c r="BK1649">
        <v>1</v>
      </c>
      <c r="BL1649">
        <v>76.06</v>
      </c>
      <c r="BM1649">
        <v>11.41</v>
      </c>
      <c r="BN1649">
        <v>87.47</v>
      </c>
      <c r="BO1649">
        <v>87.47</v>
      </c>
      <c r="BQ1649" t="s">
        <v>471</v>
      </c>
      <c r="BR1649" t="s">
        <v>82</v>
      </c>
      <c r="BS1649" t="s">
        <v>500</v>
      </c>
      <c r="BV1649" t="s">
        <v>87</v>
      </c>
      <c r="BY1649">
        <v>1200</v>
      </c>
      <c r="CC1649" t="s">
        <v>157</v>
      </c>
      <c r="CD1649">
        <v>7480</v>
      </c>
      <c r="CE1649" t="s">
        <v>134</v>
      </c>
      <c r="CI1649">
        <v>1</v>
      </c>
      <c r="CJ1649" t="s">
        <v>500</v>
      </c>
      <c r="CK1649">
        <v>21</v>
      </c>
      <c r="CL1649" t="s">
        <v>87</v>
      </c>
    </row>
    <row r="1650" spans="1:90" x14ac:dyDescent="0.3">
      <c r="A1650" t="s">
        <v>72</v>
      </c>
      <c r="B1650" t="s">
        <v>73</v>
      </c>
      <c r="C1650" t="s">
        <v>74</v>
      </c>
      <c r="E1650" t="str">
        <f>"080069853180"</f>
        <v>080069853180</v>
      </c>
      <c r="F1650" s="3">
        <v>46002</v>
      </c>
      <c r="G1650">
        <v>202609</v>
      </c>
      <c r="H1650" t="s">
        <v>75</v>
      </c>
      <c r="I1650" t="s">
        <v>76</v>
      </c>
      <c r="J1650" t="s">
        <v>77</v>
      </c>
      <c r="K1650" t="s">
        <v>78</v>
      </c>
      <c r="L1650" t="s">
        <v>128</v>
      </c>
      <c r="M1650" t="s">
        <v>129</v>
      </c>
      <c r="N1650" t="s">
        <v>2217</v>
      </c>
      <c r="O1650" t="s">
        <v>89</v>
      </c>
      <c r="P1650" t="str">
        <f>"4170073119                    "</f>
        <v xml:space="preserve">4170073119                    </v>
      </c>
      <c r="Q1650">
        <v>0</v>
      </c>
      <c r="R1650">
        <v>0</v>
      </c>
      <c r="S1650">
        <v>0</v>
      </c>
      <c r="T1650">
        <v>0</v>
      </c>
      <c r="U1650">
        <v>0</v>
      </c>
      <c r="V1650">
        <v>0</v>
      </c>
      <c r="W1650">
        <v>0</v>
      </c>
      <c r="X1650">
        <v>0</v>
      </c>
      <c r="Y1650">
        <v>0</v>
      </c>
      <c r="Z1650">
        <v>0</v>
      </c>
      <c r="AA1650">
        <v>0</v>
      </c>
      <c r="AB1650">
        <v>0</v>
      </c>
      <c r="AC1650">
        <v>0</v>
      </c>
      <c r="AD1650">
        <v>0</v>
      </c>
      <c r="AE1650">
        <v>0</v>
      </c>
      <c r="AF1650">
        <v>0</v>
      </c>
      <c r="AG1650">
        <v>0</v>
      </c>
      <c r="AH1650">
        <v>0</v>
      </c>
      <c r="AI1650">
        <v>0</v>
      </c>
      <c r="AJ1650">
        <v>0</v>
      </c>
      <c r="AK1650">
        <v>0</v>
      </c>
      <c r="AL1650">
        <v>0</v>
      </c>
      <c r="AM1650">
        <v>0</v>
      </c>
      <c r="AN1650">
        <v>0</v>
      </c>
      <c r="AO1650">
        <v>0</v>
      </c>
      <c r="AP1650">
        <v>0</v>
      </c>
      <c r="AQ1650">
        <v>51.04</v>
      </c>
      <c r="AR1650">
        <v>0</v>
      </c>
      <c r="AS1650">
        <v>0</v>
      </c>
      <c r="AT1650">
        <v>0</v>
      </c>
      <c r="AU1650">
        <v>0</v>
      </c>
      <c r="AV1650">
        <v>0</v>
      </c>
      <c r="AW1650">
        <v>0</v>
      </c>
      <c r="AX1650">
        <v>0</v>
      </c>
      <c r="AY1650">
        <v>0</v>
      </c>
      <c r="AZ1650">
        <v>0</v>
      </c>
      <c r="BA1650">
        <v>0</v>
      </c>
      <c r="BB1650">
        <v>0</v>
      </c>
      <c r="BC1650">
        <v>0</v>
      </c>
      <c r="BD1650">
        <v>0</v>
      </c>
      <c r="BE1650">
        <v>0</v>
      </c>
      <c r="BF1650">
        <v>0</v>
      </c>
      <c r="BG1650">
        <v>0</v>
      </c>
      <c r="BH1650">
        <v>2</v>
      </c>
      <c r="BI1650">
        <v>4</v>
      </c>
      <c r="BJ1650">
        <v>3.1</v>
      </c>
      <c r="BK1650">
        <v>4</v>
      </c>
      <c r="BL1650">
        <v>152.1</v>
      </c>
      <c r="BM1650">
        <v>22.82</v>
      </c>
      <c r="BN1650">
        <v>174.92</v>
      </c>
      <c r="BO1650">
        <v>174.92</v>
      </c>
      <c r="BQ1650" t="s">
        <v>2218</v>
      </c>
      <c r="BR1650" t="s">
        <v>82</v>
      </c>
      <c r="BS1650" t="s">
        <v>500</v>
      </c>
      <c r="BV1650" t="s">
        <v>87</v>
      </c>
      <c r="BY1650">
        <v>15650</v>
      </c>
      <c r="CC1650" t="s">
        <v>129</v>
      </c>
      <c r="CD1650">
        <v>5200</v>
      </c>
      <c r="CE1650" t="s">
        <v>86</v>
      </c>
      <c r="CI1650">
        <v>1</v>
      </c>
      <c r="CJ1650" t="s">
        <v>500</v>
      </c>
      <c r="CK1650">
        <v>21</v>
      </c>
      <c r="CL1650" t="s">
        <v>87</v>
      </c>
    </row>
    <row r="1651" spans="1:90" x14ac:dyDescent="0.3">
      <c r="A1651" t="s">
        <v>72</v>
      </c>
      <c r="B1651" t="s">
        <v>73</v>
      </c>
      <c r="C1651" t="s">
        <v>74</v>
      </c>
      <c r="E1651" t="str">
        <f>"080069853243"</f>
        <v>080069853243</v>
      </c>
      <c r="F1651" s="3">
        <v>46002</v>
      </c>
      <c r="G1651">
        <v>202609</v>
      </c>
      <c r="H1651" t="s">
        <v>75</v>
      </c>
      <c r="I1651" t="s">
        <v>76</v>
      </c>
      <c r="J1651" t="s">
        <v>77</v>
      </c>
      <c r="K1651" t="s">
        <v>78</v>
      </c>
      <c r="L1651" t="s">
        <v>692</v>
      </c>
      <c r="M1651" t="s">
        <v>693</v>
      </c>
      <c r="N1651" t="s">
        <v>694</v>
      </c>
      <c r="O1651" t="s">
        <v>340</v>
      </c>
      <c r="P1651" t="str">
        <f>"4170071990                    "</f>
        <v xml:space="preserve">4170071990                    </v>
      </c>
      <c r="Q1651">
        <v>0</v>
      </c>
      <c r="R1651">
        <v>0</v>
      </c>
      <c r="S1651">
        <v>0</v>
      </c>
      <c r="T1651">
        <v>0</v>
      </c>
      <c r="U1651">
        <v>0</v>
      </c>
      <c r="V1651">
        <v>0</v>
      </c>
      <c r="W1651">
        <v>0</v>
      </c>
      <c r="X1651">
        <v>0</v>
      </c>
      <c r="Y1651">
        <v>0</v>
      </c>
      <c r="Z1651">
        <v>0</v>
      </c>
      <c r="AA1651">
        <v>0</v>
      </c>
      <c r="AB1651">
        <v>0</v>
      </c>
      <c r="AC1651">
        <v>0</v>
      </c>
      <c r="AD1651">
        <v>0</v>
      </c>
      <c r="AE1651">
        <v>0</v>
      </c>
      <c r="AF1651">
        <v>0</v>
      </c>
      <c r="AG1651">
        <v>0</v>
      </c>
      <c r="AH1651">
        <v>0</v>
      </c>
      <c r="AI1651">
        <v>0</v>
      </c>
      <c r="AJ1651">
        <v>0</v>
      </c>
      <c r="AK1651">
        <v>0</v>
      </c>
      <c r="AL1651">
        <v>0</v>
      </c>
      <c r="AM1651">
        <v>0</v>
      </c>
      <c r="AN1651">
        <v>0</v>
      </c>
      <c r="AO1651">
        <v>0</v>
      </c>
      <c r="AP1651">
        <v>0</v>
      </c>
      <c r="AQ1651">
        <v>100.53</v>
      </c>
      <c r="AR1651">
        <v>0</v>
      </c>
      <c r="AS1651">
        <v>0</v>
      </c>
      <c r="AT1651">
        <v>0</v>
      </c>
      <c r="AU1651">
        <v>0</v>
      </c>
      <c r="AV1651">
        <v>0</v>
      </c>
      <c r="AW1651">
        <v>0</v>
      </c>
      <c r="AX1651">
        <v>0</v>
      </c>
      <c r="AY1651">
        <v>0</v>
      </c>
      <c r="AZ1651">
        <v>0</v>
      </c>
      <c r="BA1651">
        <v>0</v>
      </c>
      <c r="BB1651">
        <v>0</v>
      </c>
      <c r="BC1651">
        <v>0</v>
      </c>
      <c r="BD1651">
        <v>0</v>
      </c>
      <c r="BE1651">
        <v>0</v>
      </c>
      <c r="BF1651">
        <v>0</v>
      </c>
      <c r="BG1651">
        <v>0</v>
      </c>
      <c r="BH1651">
        <v>1</v>
      </c>
      <c r="BI1651">
        <v>5</v>
      </c>
      <c r="BJ1651">
        <v>1.8</v>
      </c>
      <c r="BK1651">
        <v>5</v>
      </c>
      <c r="BL1651">
        <v>299.58999999999997</v>
      </c>
      <c r="BM1651">
        <v>44.94</v>
      </c>
      <c r="BN1651">
        <v>344.53</v>
      </c>
      <c r="BO1651">
        <v>344.53</v>
      </c>
      <c r="BQ1651" t="s">
        <v>695</v>
      </c>
      <c r="BR1651" t="s">
        <v>82</v>
      </c>
      <c r="BS1651" s="3">
        <v>46003</v>
      </c>
      <c r="BT1651" s="4">
        <v>0.31666666666666665</v>
      </c>
      <c r="BU1651" t="s">
        <v>2219</v>
      </c>
      <c r="BV1651" t="s">
        <v>84</v>
      </c>
      <c r="BY1651">
        <v>8806</v>
      </c>
      <c r="CA1651" t="s">
        <v>697</v>
      </c>
      <c r="CC1651" t="s">
        <v>693</v>
      </c>
      <c r="CD1651">
        <v>1759</v>
      </c>
      <c r="CE1651" t="s">
        <v>93</v>
      </c>
      <c r="CI1651">
        <v>1</v>
      </c>
      <c r="CJ1651">
        <v>1</v>
      </c>
      <c r="CK1651">
        <v>34</v>
      </c>
      <c r="CL1651" t="s">
        <v>87</v>
      </c>
    </row>
    <row r="1652" spans="1:90" x14ac:dyDescent="0.3">
      <c r="A1652" t="s">
        <v>72</v>
      </c>
      <c r="B1652" t="s">
        <v>73</v>
      </c>
      <c r="C1652" t="s">
        <v>74</v>
      </c>
      <c r="E1652" t="str">
        <f>"080069853275"</f>
        <v>080069853275</v>
      </c>
      <c r="F1652" s="3">
        <v>46002</v>
      </c>
      <c r="G1652">
        <v>202609</v>
      </c>
      <c r="H1652" t="s">
        <v>75</v>
      </c>
      <c r="I1652" t="s">
        <v>76</v>
      </c>
      <c r="J1652" t="s">
        <v>77</v>
      </c>
      <c r="K1652" t="s">
        <v>78</v>
      </c>
      <c r="L1652" t="s">
        <v>176</v>
      </c>
      <c r="M1652" t="s">
        <v>177</v>
      </c>
      <c r="N1652" t="s">
        <v>178</v>
      </c>
      <c r="O1652" t="s">
        <v>89</v>
      </c>
      <c r="P1652" t="str">
        <f>"4170072350                    "</f>
        <v xml:space="preserve">4170072350                    </v>
      </c>
      <c r="Q1652">
        <v>0</v>
      </c>
      <c r="R1652">
        <v>0</v>
      </c>
      <c r="S1652">
        <v>0</v>
      </c>
      <c r="T1652">
        <v>0</v>
      </c>
      <c r="U1652">
        <v>0</v>
      </c>
      <c r="V1652">
        <v>0</v>
      </c>
      <c r="W1652">
        <v>0</v>
      </c>
      <c r="X1652">
        <v>0</v>
      </c>
      <c r="Y1652">
        <v>0</v>
      </c>
      <c r="Z1652">
        <v>0</v>
      </c>
      <c r="AA1652">
        <v>0</v>
      </c>
      <c r="AB1652">
        <v>0</v>
      </c>
      <c r="AC1652">
        <v>0</v>
      </c>
      <c r="AD1652">
        <v>0</v>
      </c>
      <c r="AE1652">
        <v>0</v>
      </c>
      <c r="AF1652">
        <v>0</v>
      </c>
      <c r="AG1652">
        <v>0</v>
      </c>
      <c r="AH1652">
        <v>0</v>
      </c>
      <c r="AI1652">
        <v>0</v>
      </c>
      <c r="AJ1652">
        <v>0</v>
      </c>
      <c r="AK1652">
        <v>0</v>
      </c>
      <c r="AL1652">
        <v>0</v>
      </c>
      <c r="AM1652">
        <v>0</v>
      </c>
      <c r="AN1652">
        <v>0</v>
      </c>
      <c r="AO1652">
        <v>0</v>
      </c>
      <c r="AP1652">
        <v>0</v>
      </c>
      <c r="AQ1652">
        <v>19.940000000000001</v>
      </c>
      <c r="AR1652">
        <v>0</v>
      </c>
      <c r="AS1652">
        <v>0</v>
      </c>
      <c r="AT1652">
        <v>0</v>
      </c>
      <c r="AU1652">
        <v>0</v>
      </c>
      <c r="AV1652">
        <v>0</v>
      </c>
      <c r="AW1652">
        <v>0</v>
      </c>
      <c r="AX1652">
        <v>0</v>
      </c>
      <c r="AY1652">
        <v>0</v>
      </c>
      <c r="AZ1652">
        <v>0</v>
      </c>
      <c r="BA1652">
        <v>0</v>
      </c>
      <c r="BB1652">
        <v>0</v>
      </c>
      <c r="BC1652">
        <v>0</v>
      </c>
      <c r="BD1652">
        <v>0</v>
      </c>
      <c r="BE1652">
        <v>0</v>
      </c>
      <c r="BF1652">
        <v>0</v>
      </c>
      <c r="BG1652">
        <v>0</v>
      </c>
      <c r="BH1652">
        <v>1</v>
      </c>
      <c r="BI1652">
        <v>1</v>
      </c>
      <c r="BJ1652">
        <v>1.1000000000000001</v>
      </c>
      <c r="BK1652">
        <v>2</v>
      </c>
      <c r="BL1652">
        <v>59.42</v>
      </c>
      <c r="BM1652">
        <v>8.91</v>
      </c>
      <c r="BN1652">
        <v>68.33</v>
      </c>
      <c r="BO1652">
        <v>68.33</v>
      </c>
      <c r="BQ1652" t="s">
        <v>179</v>
      </c>
      <c r="BR1652" t="s">
        <v>82</v>
      </c>
      <c r="BS1652" t="s">
        <v>500</v>
      </c>
      <c r="BV1652" t="s">
        <v>87</v>
      </c>
      <c r="BY1652">
        <v>5712</v>
      </c>
      <c r="CC1652" t="s">
        <v>177</v>
      </c>
      <c r="CD1652">
        <v>2094</v>
      </c>
      <c r="CE1652" t="s">
        <v>93</v>
      </c>
      <c r="CI1652">
        <v>1</v>
      </c>
      <c r="CJ1652" t="s">
        <v>500</v>
      </c>
      <c r="CK1652">
        <v>22</v>
      </c>
      <c r="CL1652" t="s">
        <v>87</v>
      </c>
    </row>
    <row r="1653" spans="1:90" x14ac:dyDescent="0.3">
      <c r="A1653" t="s">
        <v>72</v>
      </c>
      <c r="B1653" t="s">
        <v>73</v>
      </c>
      <c r="C1653" t="s">
        <v>74</v>
      </c>
      <c r="E1653" t="str">
        <f>"080069853308"</f>
        <v>080069853308</v>
      </c>
      <c r="F1653" s="3">
        <v>46002</v>
      </c>
      <c r="G1653">
        <v>202609</v>
      </c>
      <c r="H1653" t="s">
        <v>75</v>
      </c>
      <c r="I1653" t="s">
        <v>76</v>
      </c>
      <c r="J1653" t="s">
        <v>77</v>
      </c>
      <c r="K1653" t="s">
        <v>78</v>
      </c>
      <c r="L1653" t="s">
        <v>1120</v>
      </c>
      <c r="M1653" t="s">
        <v>1121</v>
      </c>
      <c r="N1653" t="s">
        <v>1122</v>
      </c>
      <c r="O1653" t="s">
        <v>89</v>
      </c>
      <c r="P1653" t="str">
        <f>"4170073009                    "</f>
        <v xml:space="preserve">4170073009                    </v>
      </c>
      <c r="Q1653">
        <v>0</v>
      </c>
      <c r="R1653">
        <v>0</v>
      </c>
      <c r="S1653">
        <v>0</v>
      </c>
      <c r="T1653">
        <v>0</v>
      </c>
      <c r="U1653">
        <v>0</v>
      </c>
      <c r="V1653">
        <v>0</v>
      </c>
      <c r="W1653">
        <v>0</v>
      </c>
      <c r="X1653">
        <v>0</v>
      </c>
      <c r="Y1653">
        <v>0</v>
      </c>
      <c r="Z1653">
        <v>0</v>
      </c>
      <c r="AA1653">
        <v>0</v>
      </c>
      <c r="AB1653">
        <v>0</v>
      </c>
      <c r="AC1653">
        <v>0</v>
      </c>
      <c r="AD1653">
        <v>0</v>
      </c>
      <c r="AE1653">
        <v>0</v>
      </c>
      <c r="AF1653">
        <v>0</v>
      </c>
      <c r="AG1653">
        <v>0</v>
      </c>
      <c r="AH1653">
        <v>0</v>
      </c>
      <c r="AI1653">
        <v>0</v>
      </c>
      <c r="AJ1653">
        <v>0</v>
      </c>
      <c r="AK1653">
        <v>0</v>
      </c>
      <c r="AL1653">
        <v>0</v>
      </c>
      <c r="AM1653">
        <v>0</v>
      </c>
      <c r="AN1653">
        <v>0</v>
      </c>
      <c r="AO1653">
        <v>0</v>
      </c>
      <c r="AP1653">
        <v>0</v>
      </c>
      <c r="AQ1653">
        <v>228.1</v>
      </c>
      <c r="AR1653">
        <v>0</v>
      </c>
      <c r="AS1653">
        <v>0</v>
      </c>
      <c r="AT1653">
        <v>0</v>
      </c>
      <c r="AU1653">
        <v>0</v>
      </c>
      <c r="AV1653">
        <v>0</v>
      </c>
      <c r="AW1653">
        <v>0</v>
      </c>
      <c r="AX1653">
        <v>0</v>
      </c>
      <c r="AY1653">
        <v>0</v>
      </c>
      <c r="AZ1653">
        <v>0</v>
      </c>
      <c r="BA1653">
        <v>0</v>
      </c>
      <c r="BB1653">
        <v>0</v>
      </c>
      <c r="BC1653">
        <v>0</v>
      </c>
      <c r="BD1653">
        <v>0</v>
      </c>
      <c r="BE1653">
        <v>0</v>
      </c>
      <c r="BF1653">
        <v>0</v>
      </c>
      <c r="BG1653">
        <v>0</v>
      </c>
      <c r="BH1653">
        <v>2</v>
      </c>
      <c r="BI1653">
        <v>10</v>
      </c>
      <c r="BJ1653">
        <v>7.8</v>
      </c>
      <c r="BK1653">
        <v>10</v>
      </c>
      <c r="BL1653">
        <v>679.79</v>
      </c>
      <c r="BM1653">
        <v>101.97</v>
      </c>
      <c r="BN1653">
        <v>781.76</v>
      </c>
      <c r="BO1653">
        <v>781.76</v>
      </c>
      <c r="BQ1653" t="s">
        <v>1123</v>
      </c>
      <c r="BR1653" t="s">
        <v>82</v>
      </c>
      <c r="BS1653" t="s">
        <v>500</v>
      </c>
      <c r="BV1653" t="s">
        <v>87</v>
      </c>
      <c r="BY1653">
        <v>38804</v>
      </c>
      <c r="CC1653" t="s">
        <v>1121</v>
      </c>
      <c r="CD1653" s="5" t="s">
        <v>1125</v>
      </c>
      <c r="CE1653" t="s">
        <v>86</v>
      </c>
      <c r="CI1653">
        <v>1</v>
      </c>
      <c r="CJ1653" t="s">
        <v>500</v>
      </c>
      <c r="CK1653">
        <v>23</v>
      </c>
      <c r="CL1653" t="s">
        <v>87</v>
      </c>
    </row>
    <row r="1654" spans="1:90" x14ac:dyDescent="0.3">
      <c r="A1654" t="s">
        <v>72</v>
      </c>
      <c r="B1654" t="s">
        <v>73</v>
      </c>
      <c r="C1654" t="s">
        <v>74</v>
      </c>
      <c r="E1654" t="str">
        <f>"080069853807"</f>
        <v>080069853807</v>
      </c>
      <c r="F1654" s="3">
        <v>46002</v>
      </c>
      <c r="G1654">
        <v>202609</v>
      </c>
      <c r="H1654" t="s">
        <v>75</v>
      </c>
      <c r="I1654" t="s">
        <v>76</v>
      </c>
      <c r="J1654" t="s">
        <v>77</v>
      </c>
      <c r="K1654" t="s">
        <v>78</v>
      </c>
      <c r="L1654" t="s">
        <v>2220</v>
      </c>
      <c r="M1654" t="s">
        <v>2220</v>
      </c>
      <c r="N1654" t="s">
        <v>2221</v>
      </c>
      <c r="O1654" t="s">
        <v>80</v>
      </c>
      <c r="P1654" t="str">
        <f>"009943879299                  "</f>
        <v xml:space="preserve">009943879299                  </v>
      </c>
      <c r="Q1654">
        <v>0</v>
      </c>
      <c r="R1654">
        <v>0</v>
      </c>
      <c r="S1654">
        <v>0</v>
      </c>
      <c r="T1654">
        <v>0</v>
      </c>
      <c r="U1654">
        <v>0</v>
      </c>
      <c r="V1654">
        <v>0</v>
      </c>
      <c r="W1654">
        <v>0</v>
      </c>
      <c r="X1654">
        <v>0</v>
      </c>
      <c r="Y1654">
        <v>0</v>
      </c>
      <c r="Z1654">
        <v>0</v>
      </c>
      <c r="AA1654">
        <v>0</v>
      </c>
      <c r="AB1654">
        <v>0</v>
      </c>
      <c r="AC1654">
        <v>0</v>
      </c>
      <c r="AD1654">
        <v>0</v>
      </c>
      <c r="AE1654">
        <v>0</v>
      </c>
      <c r="AF1654">
        <v>0</v>
      </c>
      <c r="AG1654">
        <v>0</v>
      </c>
      <c r="AH1654">
        <v>0</v>
      </c>
      <c r="AI1654">
        <v>0</v>
      </c>
      <c r="AJ1654">
        <v>0</v>
      </c>
      <c r="AK1654">
        <v>0</v>
      </c>
      <c r="AL1654">
        <v>0</v>
      </c>
      <c r="AM1654">
        <v>0</v>
      </c>
      <c r="AN1654">
        <v>0</v>
      </c>
      <c r="AO1654">
        <v>0</v>
      </c>
      <c r="AP1654">
        <v>0</v>
      </c>
      <c r="AQ1654">
        <v>666.89</v>
      </c>
      <c r="AR1654">
        <v>0</v>
      </c>
      <c r="AS1654">
        <v>0</v>
      </c>
      <c r="AT1654">
        <v>0</v>
      </c>
      <c r="AU1654">
        <v>0</v>
      </c>
      <c r="AV1654">
        <v>0</v>
      </c>
      <c r="AW1654">
        <v>0</v>
      </c>
      <c r="AX1654">
        <v>0</v>
      </c>
      <c r="AY1654">
        <v>0</v>
      </c>
      <c r="AZ1654">
        <v>0</v>
      </c>
      <c r="BA1654">
        <v>0</v>
      </c>
      <c r="BB1654">
        <v>0</v>
      </c>
      <c r="BC1654">
        <v>0</v>
      </c>
      <c r="BD1654">
        <v>0</v>
      </c>
      <c r="BE1654">
        <v>0</v>
      </c>
      <c r="BF1654">
        <v>0</v>
      </c>
      <c r="BG1654">
        <v>0</v>
      </c>
      <c r="BH1654">
        <v>1</v>
      </c>
      <c r="BI1654">
        <v>183</v>
      </c>
      <c r="BJ1654">
        <v>77.7</v>
      </c>
      <c r="BK1654">
        <v>183</v>
      </c>
      <c r="BL1654">
        <v>1993.56</v>
      </c>
      <c r="BM1654">
        <v>299.02999999999997</v>
      </c>
      <c r="BN1654">
        <v>2292.59</v>
      </c>
      <c r="BO1654">
        <v>2292.59</v>
      </c>
      <c r="BQ1654" t="s">
        <v>2222</v>
      </c>
      <c r="BR1654" t="s">
        <v>82</v>
      </c>
      <c r="BS1654" t="s">
        <v>500</v>
      </c>
      <c r="BV1654" t="s">
        <v>87</v>
      </c>
      <c r="BY1654">
        <v>388557</v>
      </c>
      <c r="CC1654" t="s">
        <v>2220</v>
      </c>
      <c r="CD1654">
        <v>1260</v>
      </c>
      <c r="CE1654" t="s">
        <v>567</v>
      </c>
      <c r="CI1654">
        <v>1</v>
      </c>
      <c r="CJ1654" t="s">
        <v>500</v>
      </c>
      <c r="CK1654">
        <v>43</v>
      </c>
      <c r="CL1654" t="s">
        <v>87</v>
      </c>
    </row>
    <row r="1655" spans="1:90" x14ac:dyDescent="0.3">
      <c r="A1655" t="s">
        <v>72</v>
      </c>
      <c r="B1655" t="s">
        <v>73</v>
      </c>
      <c r="C1655" t="s">
        <v>74</v>
      </c>
      <c r="E1655" t="str">
        <f>"080069854013"</f>
        <v>080069854013</v>
      </c>
      <c r="F1655" s="3">
        <v>46002</v>
      </c>
      <c r="G1655">
        <v>202609</v>
      </c>
      <c r="H1655" t="s">
        <v>75</v>
      </c>
      <c r="I1655" t="s">
        <v>76</v>
      </c>
      <c r="J1655" t="s">
        <v>77</v>
      </c>
      <c r="K1655" t="s">
        <v>78</v>
      </c>
      <c r="L1655" t="s">
        <v>75</v>
      </c>
      <c r="M1655" t="s">
        <v>76</v>
      </c>
      <c r="N1655" t="s">
        <v>543</v>
      </c>
      <c r="O1655" t="s">
        <v>89</v>
      </c>
      <c r="P1655" t="str">
        <f>"4170073193                    "</f>
        <v xml:space="preserve">4170073193                    </v>
      </c>
      <c r="Q1655">
        <v>0</v>
      </c>
      <c r="R1655">
        <v>0</v>
      </c>
      <c r="S1655">
        <v>0</v>
      </c>
      <c r="T1655">
        <v>0</v>
      </c>
      <c r="U1655">
        <v>0</v>
      </c>
      <c r="V1655">
        <v>0</v>
      </c>
      <c r="W1655">
        <v>0</v>
      </c>
      <c r="X1655">
        <v>0</v>
      </c>
      <c r="Y1655">
        <v>0</v>
      </c>
      <c r="Z1655">
        <v>0</v>
      </c>
      <c r="AA1655">
        <v>0</v>
      </c>
      <c r="AB1655">
        <v>0</v>
      </c>
      <c r="AC1655">
        <v>0</v>
      </c>
      <c r="AD1655">
        <v>0</v>
      </c>
      <c r="AE1655">
        <v>0</v>
      </c>
      <c r="AF1655">
        <v>0</v>
      </c>
      <c r="AG1655">
        <v>0</v>
      </c>
      <c r="AH1655">
        <v>0</v>
      </c>
      <c r="AI1655">
        <v>0</v>
      </c>
      <c r="AJ1655">
        <v>0</v>
      </c>
      <c r="AK1655">
        <v>0</v>
      </c>
      <c r="AL1655">
        <v>0</v>
      </c>
      <c r="AM1655">
        <v>0</v>
      </c>
      <c r="AN1655">
        <v>0</v>
      </c>
      <c r="AO1655">
        <v>0</v>
      </c>
      <c r="AP1655">
        <v>0</v>
      </c>
      <c r="AQ1655">
        <v>19.940000000000001</v>
      </c>
      <c r="AR1655">
        <v>0</v>
      </c>
      <c r="AS1655">
        <v>0</v>
      </c>
      <c r="AT1655">
        <v>0</v>
      </c>
      <c r="AU1655">
        <v>0</v>
      </c>
      <c r="AV1655">
        <v>0</v>
      </c>
      <c r="AW1655">
        <v>0</v>
      </c>
      <c r="AX1655">
        <v>0</v>
      </c>
      <c r="AY1655">
        <v>0</v>
      </c>
      <c r="AZ1655">
        <v>0</v>
      </c>
      <c r="BA1655">
        <v>0</v>
      </c>
      <c r="BB1655">
        <v>0</v>
      </c>
      <c r="BC1655">
        <v>0</v>
      </c>
      <c r="BD1655">
        <v>0</v>
      </c>
      <c r="BE1655">
        <v>0</v>
      </c>
      <c r="BF1655">
        <v>0</v>
      </c>
      <c r="BG1655">
        <v>0</v>
      </c>
      <c r="BH1655">
        <v>1</v>
      </c>
      <c r="BI1655">
        <v>1</v>
      </c>
      <c r="BJ1655">
        <v>0.2</v>
      </c>
      <c r="BK1655">
        <v>1</v>
      </c>
      <c r="BL1655">
        <v>59.42</v>
      </c>
      <c r="BM1655">
        <v>8.91</v>
      </c>
      <c r="BN1655">
        <v>68.33</v>
      </c>
      <c r="BO1655">
        <v>68.33</v>
      </c>
      <c r="BQ1655" t="s">
        <v>544</v>
      </c>
      <c r="BR1655" t="s">
        <v>82</v>
      </c>
      <c r="BS1655" s="3">
        <v>46003</v>
      </c>
      <c r="BT1655" s="4">
        <v>0.31666666666666665</v>
      </c>
      <c r="BU1655" t="s">
        <v>762</v>
      </c>
      <c r="BV1655" t="s">
        <v>84</v>
      </c>
      <c r="BY1655">
        <v>1200</v>
      </c>
      <c r="CA1655" t="s">
        <v>763</v>
      </c>
      <c r="CC1655" t="s">
        <v>76</v>
      </c>
      <c r="CD1655">
        <v>1666</v>
      </c>
      <c r="CE1655" t="s">
        <v>134</v>
      </c>
      <c r="CI1655">
        <v>1</v>
      </c>
      <c r="CJ1655">
        <v>1</v>
      </c>
      <c r="CK1655">
        <v>22</v>
      </c>
      <c r="CL1655" t="s">
        <v>87</v>
      </c>
    </row>
    <row r="1656" spans="1:90" x14ac:dyDescent="0.3">
      <c r="A1656" t="s">
        <v>72</v>
      </c>
      <c r="B1656" t="s">
        <v>73</v>
      </c>
      <c r="C1656" t="s">
        <v>74</v>
      </c>
      <c r="E1656" t="str">
        <f>"080069854073"</f>
        <v>080069854073</v>
      </c>
      <c r="F1656" s="3">
        <v>46002</v>
      </c>
      <c r="G1656">
        <v>202609</v>
      </c>
      <c r="H1656" t="s">
        <v>75</v>
      </c>
      <c r="I1656" t="s">
        <v>76</v>
      </c>
      <c r="J1656" t="s">
        <v>77</v>
      </c>
      <c r="K1656" t="s">
        <v>78</v>
      </c>
      <c r="L1656" t="s">
        <v>75</v>
      </c>
      <c r="M1656" t="s">
        <v>76</v>
      </c>
      <c r="N1656" t="s">
        <v>88</v>
      </c>
      <c r="O1656" t="s">
        <v>89</v>
      </c>
      <c r="P1656" t="str">
        <f>"4170073209                    "</f>
        <v xml:space="preserve">4170073209                    </v>
      </c>
      <c r="Q1656">
        <v>0</v>
      </c>
      <c r="R1656">
        <v>0</v>
      </c>
      <c r="S1656">
        <v>0</v>
      </c>
      <c r="T1656">
        <v>0</v>
      </c>
      <c r="U1656">
        <v>0</v>
      </c>
      <c r="V1656">
        <v>0</v>
      </c>
      <c r="W1656">
        <v>0</v>
      </c>
      <c r="X1656">
        <v>0</v>
      </c>
      <c r="Y1656">
        <v>0</v>
      </c>
      <c r="Z1656">
        <v>0</v>
      </c>
      <c r="AA1656">
        <v>0</v>
      </c>
      <c r="AB1656">
        <v>0</v>
      </c>
      <c r="AC1656">
        <v>0</v>
      </c>
      <c r="AD1656">
        <v>0</v>
      </c>
      <c r="AE1656">
        <v>0</v>
      </c>
      <c r="AF1656">
        <v>0</v>
      </c>
      <c r="AG1656">
        <v>0</v>
      </c>
      <c r="AH1656">
        <v>0</v>
      </c>
      <c r="AI1656">
        <v>0</v>
      </c>
      <c r="AJ1656">
        <v>0</v>
      </c>
      <c r="AK1656">
        <v>0</v>
      </c>
      <c r="AL1656">
        <v>0</v>
      </c>
      <c r="AM1656">
        <v>0</v>
      </c>
      <c r="AN1656">
        <v>0</v>
      </c>
      <c r="AO1656">
        <v>0</v>
      </c>
      <c r="AP1656">
        <v>0</v>
      </c>
      <c r="AQ1656">
        <v>19.940000000000001</v>
      </c>
      <c r="AR1656">
        <v>0</v>
      </c>
      <c r="AS1656">
        <v>0</v>
      </c>
      <c r="AT1656">
        <v>0</v>
      </c>
      <c r="AU1656">
        <v>0</v>
      </c>
      <c r="AV1656">
        <v>0</v>
      </c>
      <c r="AW1656">
        <v>0</v>
      </c>
      <c r="AX1656">
        <v>0</v>
      </c>
      <c r="AY1656">
        <v>0</v>
      </c>
      <c r="AZ1656">
        <v>0</v>
      </c>
      <c r="BA1656">
        <v>0</v>
      </c>
      <c r="BB1656">
        <v>0</v>
      </c>
      <c r="BC1656">
        <v>0</v>
      </c>
      <c r="BD1656">
        <v>0</v>
      </c>
      <c r="BE1656">
        <v>0</v>
      </c>
      <c r="BF1656">
        <v>0</v>
      </c>
      <c r="BG1656">
        <v>0</v>
      </c>
      <c r="BH1656">
        <v>1</v>
      </c>
      <c r="BI1656">
        <v>1</v>
      </c>
      <c r="BJ1656">
        <v>0.2</v>
      </c>
      <c r="BK1656">
        <v>1</v>
      </c>
      <c r="BL1656">
        <v>59.42</v>
      </c>
      <c r="BM1656">
        <v>8.91</v>
      </c>
      <c r="BN1656">
        <v>68.33</v>
      </c>
      <c r="BO1656">
        <v>68.33</v>
      </c>
      <c r="BQ1656" t="s">
        <v>90</v>
      </c>
      <c r="BR1656" t="s">
        <v>82</v>
      </c>
      <c r="BS1656" s="3">
        <v>46003</v>
      </c>
      <c r="BT1656" s="4">
        <v>0.29930555555555555</v>
      </c>
      <c r="BU1656" t="s">
        <v>91</v>
      </c>
      <c r="BV1656" t="s">
        <v>84</v>
      </c>
      <c r="BY1656">
        <v>1200</v>
      </c>
      <c r="CA1656" t="s">
        <v>92</v>
      </c>
      <c r="CC1656" t="s">
        <v>76</v>
      </c>
      <c r="CD1656">
        <v>1600</v>
      </c>
      <c r="CE1656" t="s">
        <v>134</v>
      </c>
      <c r="CI1656">
        <v>1</v>
      </c>
      <c r="CJ1656">
        <v>1</v>
      </c>
      <c r="CK1656">
        <v>22</v>
      </c>
      <c r="CL1656" t="s">
        <v>87</v>
      </c>
    </row>
    <row r="1657" spans="1:90" x14ac:dyDescent="0.3">
      <c r="A1657" t="s">
        <v>72</v>
      </c>
      <c r="B1657" t="s">
        <v>73</v>
      </c>
      <c r="C1657" t="s">
        <v>74</v>
      </c>
      <c r="E1657" t="str">
        <f>"080069854112"</f>
        <v>080069854112</v>
      </c>
      <c r="F1657" s="3">
        <v>46002</v>
      </c>
      <c r="G1657">
        <v>202609</v>
      </c>
      <c r="H1657" t="s">
        <v>75</v>
      </c>
      <c r="I1657" t="s">
        <v>76</v>
      </c>
      <c r="J1657" t="s">
        <v>77</v>
      </c>
      <c r="K1657" t="s">
        <v>78</v>
      </c>
      <c r="L1657" t="s">
        <v>141</v>
      </c>
      <c r="M1657" t="s">
        <v>142</v>
      </c>
      <c r="N1657" t="s">
        <v>728</v>
      </c>
      <c r="O1657" t="s">
        <v>89</v>
      </c>
      <c r="P1657" t="str">
        <f>"4170073099                    "</f>
        <v xml:space="preserve">4170073099                    </v>
      </c>
      <c r="Q1657">
        <v>0</v>
      </c>
      <c r="R1657">
        <v>0</v>
      </c>
      <c r="S1657">
        <v>0</v>
      </c>
      <c r="T1657">
        <v>0</v>
      </c>
      <c r="U1657">
        <v>0</v>
      </c>
      <c r="V1657">
        <v>0</v>
      </c>
      <c r="W1657">
        <v>0</v>
      </c>
      <c r="X1657">
        <v>0</v>
      </c>
      <c r="Y1657">
        <v>0</v>
      </c>
      <c r="Z1657">
        <v>0</v>
      </c>
      <c r="AA1657">
        <v>0</v>
      </c>
      <c r="AB1657">
        <v>0</v>
      </c>
      <c r="AC1657">
        <v>0</v>
      </c>
      <c r="AD1657">
        <v>0</v>
      </c>
      <c r="AE1657">
        <v>0</v>
      </c>
      <c r="AF1657">
        <v>0</v>
      </c>
      <c r="AG1657">
        <v>0</v>
      </c>
      <c r="AH1657">
        <v>0</v>
      </c>
      <c r="AI1657">
        <v>0</v>
      </c>
      <c r="AJ1657">
        <v>0</v>
      </c>
      <c r="AK1657">
        <v>0</v>
      </c>
      <c r="AL1657">
        <v>0</v>
      </c>
      <c r="AM1657">
        <v>0</v>
      </c>
      <c r="AN1657">
        <v>0</v>
      </c>
      <c r="AO1657">
        <v>0</v>
      </c>
      <c r="AP1657">
        <v>0</v>
      </c>
      <c r="AQ1657">
        <v>70.17</v>
      </c>
      <c r="AR1657">
        <v>0</v>
      </c>
      <c r="AS1657">
        <v>0</v>
      </c>
      <c r="AT1657">
        <v>0</v>
      </c>
      <c r="AU1657">
        <v>0</v>
      </c>
      <c r="AV1657">
        <v>0</v>
      </c>
      <c r="AW1657">
        <v>0</v>
      </c>
      <c r="AX1657">
        <v>0</v>
      </c>
      <c r="AY1657">
        <v>0</v>
      </c>
      <c r="AZ1657">
        <v>0</v>
      </c>
      <c r="BA1657">
        <v>0</v>
      </c>
      <c r="BB1657">
        <v>0</v>
      </c>
      <c r="BC1657">
        <v>0</v>
      </c>
      <c r="BD1657">
        <v>0</v>
      </c>
      <c r="BE1657">
        <v>0</v>
      </c>
      <c r="BF1657">
        <v>0</v>
      </c>
      <c r="BG1657">
        <v>0</v>
      </c>
      <c r="BH1657">
        <v>1</v>
      </c>
      <c r="BI1657">
        <v>4</v>
      </c>
      <c r="BJ1657">
        <v>5.2</v>
      </c>
      <c r="BK1657">
        <v>5.5</v>
      </c>
      <c r="BL1657">
        <v>209.12</v>
      </c>
      <c r="BM1657">
        <v>31.37</v>
      </c>
      <c r="BN1657">
        <v>240.49</v>
      </c>
      <c r="BO1657">
        <v>240.49</v>
      </c>
      <c r="BQ1657" t="s">
        <v>729</v>
      </c>
      <c r="BR1657" t="s">
        <v>82</v>
      </c>
      <c r="BS1657" t="s">
        <v>500</v>
      </c>
      <c r="BV1657" t="s">
        <v>87</v>
      </c>
      <c r="BY1657">
        <v>26013</v>
      </c>
      <c r="CC1657" t="s">
        <v>142</v>
      </c>
      <c r="CD1657">
        <v>6012</v>
      </c>
      <c r="CE1657" t="s">
        <v>86</v>
      </c>
      <c r="CI1657">
        <v>1</v>
      </c>
      <c r="CJ1657" t="s">
        <v>500</v>
      </c>
      <c r="CK1657">
        <v>21</v>
      </c>
      <c r="CL1657" t="s">
        <v>87</v>
      </c>
    </row>
    <row r="1658" spans="1:90" x14ac:dyDescent="0.3">
      <c r="A1658" t="s">
        <v>72</v>
      </c>
      <c r="B1658" t="s">
        <v>73</v>
      </c>
      <c r="C1658" t="s">
        <v>74</v>
      </c>
      <c r="E1658" t="str">
        <f>"080069854168"</f>
        <v>080069854168</v>
      </c>
      <c r="F1658" s="3">
        <v>46002</v>
      </c>
      <c r="G1658">
        <v>202609</v>
      </c>
      <c r="H1658" t="s">
        <v>75</v>
      </c>
      <c r="I1658" t="s">
        <v>76</v>
      </c>
      <c r="J1658" t="s">
        <v>77</v>
      </c>
      <c r="K1658" t="s">
        <v>78</v>
      </c>
      <c r="L1658" t="s">
        <v>148</v>
      </c>
      <c r="M1658" t="s">
        <v>149</v>
      </c>
      <c r="N1658" t="s">
        <v>150</v>
      </c>
      <c r="O1658" t="s">
        <v>89</v>
      </c>
      <c r="P1658" t="str">
        <f>"4170073187                    "</f>
        <v xml:space="preserve">4170073187                    </v>
      </c>
      <c r="Q1658">
        <v>0</v>
      </c>
      <c r="R1658">
        <v>0</v>
      </c>
      <c r="S1658">
        <v>0</v>
      </c>
      <c r="T1658">
        <v>0</v>
      </c>
      <c r="U1658">
        <v>0</v>
      </c>
      <c r="V1658">
        <v>0</v>
      </c>
      <c r="W1658">
        <v>0</v>
      </c>
      <c r="X1658">
        <v>0</v>
      </c>
      <c r="Y1658">
        <v>0</v>
      </c>
      <c r="Z1658">
        <v>0</v>
      </c>
      <c r="AA1658">
        <v>0</v>
      </c>
      <c r="AB1658">
        <v>0</v>
      </c>
      <c r="AC1658">
        <v>0</v>
      </c>
      <c r="AD1658">
        <v>0</v>
      </c>
      <c r="AE1658">
        <v>0</v>
      </c>
      <c r="AF1658">
        <v>0</v>
      </c>
      <c r="AG1658">
        <v>0</v>
      </c>
      <c r="AH1658">
        <v>0</v>
      </c>
      <c r="AI1658">
        <v>0</v>
      </c>
      <c r="AJ1658">
        <v>0</v>
      </c>
      <c r="AK1658">
        <v>0</v>
      </c>
      <c r="AL1658">
        <v>0</v>
      </c>
      <c r="AM1658">
        <v>0</v>
      </c>
      <c r="AN1658">
        <v>0</v>
      </c>
      <c r="AO1658">
        <v>0</v>
      </c>
      <c r="AP1658">
        <v>0</v>
      </c>
      <c r="AQ1658">
        <v>138.78</v>
      </c>
      <c r="AR1658">
        <v>0</v>
      </c>
      <c r="AS1658">
        <v>0</v>
      </c>
      <c r="AT1658">
        <v>0</v>
      </c>
      <c r="AU1658">
        <v>0</v>
      </c>
      <c r="AV1658">
        <v>0</v>
      </c>
      <c r="AW1658">
        <v>0</v>
      </c>
      <c r="AX1658">
        <v>0</v>
      </c>
      <c r="AY1658">
        <v>0</v>
      </c>
      <c r="AZ1658">
        <v>0</v>
      </c>
      <c r="BA1658">
        <v>0</v>
      </c>
      <c r="BB1658">
        <v>0</v>
      </c>
      <c r="BC1658">
        <v>0</v>
      </c>
      <c r="BD1658">
        <v>0</v>
      </c>
      <c r="BE1658">
        <v>0</v>
      </c>
      <c r="BF1658">
        <v>0</v>
      </c>
      <c r="BG1658">
        <v>0</v>
      </c>
      <c r="BH1658">
        <v>1</v>
      </c>
      <c r="BI1658">
        <v>5</v>
      </c>
      <c r="BJ1658">
        <v>6</v>
      </c>
      <c r="BK1658">
        <v>6</v>
      </c>
      <c r="BL1658">
        <v>413.59</v>
      </c>
      <c r="BM1658">
        <v>62.04</v>
      </c>
      <c r="BN1658">
        <v>475.63</v>
      </c>
      <c r="BO1658">
        <v>475.63</v>
      </c>
      <c r="BQ1658" t="s">
        <v>1550</v>
      </c>
      <c r="BR1658" t="s">
        <v>82</v>
      </c>
      <c r="BS1658" t="s">
        <v>500</v>
      </c>
      <c r="BV1658" t="s">
        <v>87</v>
      </c>
      <c r="BY1658">
        <v>30056</v>
      </c>
      <c r="CC1658" t="s">
        <v>149</v>
      </c>
      <c r="CD1658">
        <v>7299</v>
      </c>
      <c r="CE1658" t="s">
        <v>93</v>
      </c>
      <c r="CI1658">
        <v>1</v>
      </c>
      <c r="CJ1658" t="s">
        <v>500</v>
      </c>
      <c r="CK1658">
        <v>23</v>
      </c>
      <c r="CL1658" t="s">
        <v>87</v>
      </c>
    </row>
    <row r="1659" spans="1:90" x14ac:dyDescent="0.3">
      <c r="A1659" t="s">
        <v>72</v>
      </c>
      <c r="B1659" t="s">
        <v>73</v>
      </c>
      <c r="C1659" t="s">
        <v>74</v>
      </c>
      <c r="E1659" t="str">
        <f>"080069854172"</f>
        <v>080069854172</v>
      </c>
      <c r="F1659" s="3">
        <v>46002</v>
      </c>
      <c r="G1659">
        <v>202609</v>
      </c>
      <c r="H1659" t="s">
        <v>75</v>
      </c>
      <c r="I1659" t="s">
        <v>76</v>
      </c>
      <c r="J1659" t="s">
        <v>77</v>
      </c>
      <c r="K1659" t="s">
        <v>78</v>
      </c>
      <c r="L1659" t="s">
        <v>899</v>
      </c>
      <c r="M1659" t="s">
        <v>900</v>
      </c>
      <c r="N1659" t="s">
        <v>901</v>
      </c>
      <c r="O1659" t="s">
        <v>89</v>
      </c>
      <c r="P1659" t="str">
        <f>"4170072999                    "</f>
        <v xml:space="preserve">4170072999                    </v>
      </c>
      <c r="Q1659">
        <v>0</v>
      </c>
      <c r="R1659">
        <v>0</v>
      </c>
      <c r="S1659">
        <v>0</v>
      </c>
      <c r="T1659">
        <v>0</v>
      </c>
      <c r="U1659">
        <v>0</v>
      </c>
      <c r="V1659">
        <v>0</v>
      </c>
      <c r="W1659">
        <v>0</v>
      </c>
      <c r="X1659">
        <v>0</v>
      </c>
      <c r="Y1659">
        <v>0</v>
      </c>
      <c r="Z1659">
        <v>0</v>
      </c>
      <c r="AA1659">
        <v>0</v>
      </c>
      <c r="AB1659">
        <v>0</v>
      </c>
      <c r="AC1659">
        <v>0</v>
      </c>
      <c r="AD1659">
        <v>0</v>
      </c>
      <c r="AE1659">
        <v>0</v>
      </c>
      <c r="AF1659">
        <v>0</v>
      </c>
      <c r="AG1659">
        <v>0</v>
      </c>
      <c r="AH1659">
        <v>0</v>
      </c>
      <c r="AI1659">
        <v>0</v>
      </c>
      <c r="AJ1659">
        <v>0</v>
      </c>
      <c r="AK1659">
        <v>0</v>
      </c>
      <c r="AL1659">
        <v>0</v>
      </c>
      <c r="AM1659">
        <v>0</v>
      </c>
      <c r="AN1659">
        <v>0</v>
      </c>
      <c r="AO1659">
        <v>0</v>
      </c>
      <c r="AP1659">
        <v>0</v>
      </c>
      <c r="AQ1659">
        <v>219.47</v>
      </c>
      <c r="AR1659">
        <v>0</v>
      </c>
      <c r="AS1659">
        <v>0</v>
      </c>
      <c r="AT1659">
        <v>0</v>
      </c>
      <c r="AU1659">
        <v>0</v>
      </c>
      <c r="AV1659">
        <v>0</v>
      </c>
      <c r="AW1659">
        <v>0</v>
      </c>
      <c r="AX1659">
        <v>0</v>
      </c>
      <c r="AY1659">
        <v>0</v>
      </c>
      <c r="AZ1659">
        <v>0</v>
      </c>
      <c r="BA1659">
        <v>0</v>
      </c>
      <c r="BB1659">
        <v>0</v>
      </c>
      <c r="BC1659">
        <v>0</v>
      </c>
      <c r="BD1659">
        <v>0</v>
      </c>
      <c r="BE1659">
        <v>0</v>
      </c>
      <c r="BF1659">
        <v>0</v>
      </c>
      <c r="BG1659">
        <v>0</v>
      </c>
      <c r="BH1659">
        <v>1</v>
      </c>
      <c r="BI1659">
        <v>8</v>
      </c>
      <c r="BJ1659">
        <v>12.3</v>
      </c>
      <c r="BK1659">
        <v>12.5</v>
      </c>
      <c r="BL1659">
        <v>654.05999999999995</v>
      </c>
      <c r="BM1659">
        <v>98.11</v>
      </c>
      <c r="BN1659">
        <v>752.17</v>
      </c>
      <c r="BO1659">
        <v>752.17</v>
      </c>
      <c r="BQ1659" t="s">
        <v>902</v>
      </c>
      <c r="BR1659" t="s">
        <v>82</v>
      </c>
      <c r="BS1659" t="s">
        <v>500</v>
      </c>
      <c r="BV1659" t="s">
        <v>87</v>
      </c>
      <c r="BY1659">
        <v>61440</v>
      </c>
      <c r="CC1659" t="s">
        <v>900</v>
      </c>
      <c r="CD1659">
        <v>2410</v>
      </c>
      <c r="CE1659" t="s">
        <v>93</v>
      </c>
      <c r="CI1659">
        <v>1</v>
      </c>
      <c r="CJ1659" t="s">
        <v>500</v>
      </c>
      <c r="CK1659">
        <v>24</v>
      </c>
      <c r="CL1659" t="s">
        <v>87</v>
      </c>
    </row>
    <row r="1660" spans="1:90" x14ac:dyDescent="0.3">
      <c r="A1660" t="s">
        <v>72</v>
      </c>
      <c r="B1660" t="s">
        <v>73</v>
      </c>
      <c r="C1660" t="s">
        <v>74</v>
      </c>
      <c r="E1660" t="str">
        <f>"080069854208"</f>
        <v>080069854208</v>
      </c>
      <c r="F1660" s="3">
        <v>46002</v>
      </c>
      <c r="G1660">
        <v>202609</v>
      </c>
      <c r="H1660" t="s">
        <v>75</v>
      </c>
      <c r="I1660" t="s">
        <v>76</v>
      </c>
      <c r="J1660" t="s">
        <v>77</v>
      </c>
      <c r="K1660" t="s">
        <v>78</v>
      </c>
      <c r="L1660" t="s">
        <v>156</v>
      </c>
      <c r="M1660" t="s">
        <v>157</v>
      </c>
      <c r="N1660" t="s">
        <v>261</v>
      </c>
      <c r="O1660" t="s">
        <v>89</v>
      </c>
      <c r="P1660" t="str">
        <f>"4170073141                    "</f>
        <v xml:space="preserve">4170073141                    </v>
      </c>
      <c r="Q1660">
        <v>0</v>
      </c>
      <c r="R1660">
        <v>0</v>
      </c>
      <c r="S1660">
        <v>0</v>
      </c>
      <c r="T1660">
        <v>0</v>
      </c>
      <c r="U1660">
        <v>0</v>
      </c>
      <c r="V1660">
        <v>0</v>
      </c>
      <c r="W1660">
        <v>0</v>
      </c>
      <c r="X1660">
        <v>0</v>
      </c>
      <c r="Y1660">
        <v>0</v>
      </c>
      <c r="Z1660">
        <v>0</v>
      </c>
      <c r="AA1660">
        <v>0</v>
      </c>
      <c r="AB1660">
        <v>0</v>
      </c>
      <c r="AC1660">
        <v>0</v>
      </c>
      <c r="AD1660">
        <v>0</v>
      </c>
      <c r="AE1660">
        <v>0</v>
      </c>
      <c r="AF1660">
        <v>0</v>
      </c>
      <c r="AG1660">
        <v>0</v>
      </c>
      <c r="AH1660">
        <v>0</v>
      </c>
      <c r="AI1660">
        <v>0</v>
      </c>
      <c r="AJ1660">
        <v>0</v>
      </c>
      <c r="AK1660">
        <v>0</v>
      </c>
      <c r="AL1660">
        <v>0</v>
      </c>
      <c r="AM1660">
        <v>0</v>
      </c>
      <c r="AN1660">
        <v>0</v>
      </c>
      <c r="AO1660">
        <v>0</v>
      </c>
      <c r="AP1660">
        <v>0</v>
      </c>
      <c r="AQ1660">
        <v>25.52</v>
      </c>
      <c r="AR1660">
        <v>0</v>
      </c>
      <c r="AS1660">
        <v>0</v>
      </c>
      <c r="AT1660">
        <v>0</v>
      </c>
      <c r="AU1660">
        <v>0</v>
      </c>
      <c r="AV1660">
        <v>0</v>
      </c>
      <c r="AW1660">
        <v>0</v>
      </c>
      <c r="AX1660">
        <v>0</v>
      </c>
      <c r="AY1660">
        <v>0</v>
      </c>
      <c r="AZ1660">
        <v>0</v>
      </c>
      <c r="BA1660">
        <v>0</v>
      </c>
      <c r="BB1660">
        <v>0</v>
      </c>
      <c r="BC1660">
        <v>0</v>
      </c>
      <c r="BD1660">
        <v>0</v>
      </c>
      <c r="BE1660">
        <v>0</v>
      </c>
      <c r="BF1660">
        <v>0</v>
      </c>
      <c r="BG1660">
        <v>0</v>
      </c>
      <c r="BH1660">
        <v>1</v>
      </c>
      <c r="BI1660">
        <v>1</v>
      </c>
      <c r="BJ1660">
        <v>1.5</v>
      </c>
      <c r="BK1660">
        <v>1.5</v>
      </c>
      <c r="BL1660">
        <v>76.06</v>
      </c>
      <c r="BM1660">
        <v>11.41</v>
      </c>
      <c r="BN1660">
        <v>87.47</v>
      </c>
      <c r="BO1660">
        <v>87.47</v>
      </c>
      <c r="BQ1660" t="s">
        <v>262</v>
      </c>
      <c r="BR1660" t="s">
        <v>82</v>
      </c>
      <c r="BS1660" t="s">
        <v>500</v>
      </c>
      <c r="BV1660" t="s">
        <v>87</v>
      </c>
      <c r="BY1660">
        <v>7500</v>
      </c>
      <c r="CC1660" t="s">
        <v>157</v>
      </c>
      <c r="CD1660">
        <v>7441</v>
      </c>
      <c r="CE1660" t="s">
        <v>93</v>
      </c>
      <c r="CI1660">
        <v>1</v>
      </c>
      <c r="CJ1660" t="s">
        <v>500</v>
      </c>
      <c r="CK1660">
        <v>21</v>
      </c>
      <c r="CL1660" t="s">
        <v>87</v>
      </c>
    </row>
    <row r="1661" spans="1:90" x14ac:dyDescent="0.3">
      <c r="A1661" t="s">
        <v>72</v>
      </c>
      <c r="B1661" t="s">
        <v>73</v>
      </c>
      <c r="C1661" t="s">
        <v>74</v>
      </c>
      <c r="E1661" t="str">
        <f>"080069854211"</f>
        <v>080069854211</v>
      </c>
      <c r="F1661" s="3">
        <v>46002</v>
      </c>
      <c r="G1661">
        <v>202609</v>
      </c>
      <c r="H1661" t="s">
        <v>75</v>
      </c>
      <c r="I1661" t="s">
        <v>76</v>
      </c>
      <c r="J1661" t="s">
        <v>77</v>
      </c>
      <c r="K1661" t="s">
        <v>78</v>
      </c>
      <c r="L1661" t="s">
        <v>94</v>
      </c>
      <c r="M1661" t="s">
        <v>95</v>
      </c>
      <c r="N1661" t="s">
        <v>1351</v>
      </c>
      <c r="O1661" t="s">
        <v>89</v>
      </c>
      <c r="P1661" t="str">
        <f>"4170073024                    "</f>
        <v xml:space="preserve">4170073024                    </v>
      </c>
      <c r="Q1661">
        <v>0</v>
      </c>
      <c r="R1661">
        <v>0</v>
      </c>
      <c r="S1661">
        <v>0</v>
      </c>
      <c r="T1661">
        <v>0</v>
      </c>
      <c r="U1661">
        <v>0</v>
      </c>
      <c r="V1661">
        <v>0</v>
      </c>
      <c r="W1661">
        <v>0</v>
      </c>
      <c r="X1661">
        <v>0</v>
      </c>
      <c r="Y1661">
        <v>0</v>
      </c>
      <c r="Z1661">
        <v>0</v>
      </c>
      <c r="AA1661">
        <v>0</v>
      </c>
      <c r="AB1661">
        <v>0</v>
      </c>
      <c r="AC1661">
        <v>0</v>
      </c>
      <c r="AD1661">
        <v>0</v>
      </c>
      <c r="AE1661">
        <v>0</v>
      </c>
      <c r="AF1661">
        <v>0</v>
      </c>
      <c r="AG1661">
        <v>0</v>
      </c>
      <c r="AH1661">
        <v>0</v>
      </c>
      <c r="AI1661">
        <v>0</v>
      </c>
      <c r="AJ1661">
        <v>0</v>
      </c>
      <c r="AK1661">
        <v>0</v>
      </c>
      <c r="AL1661">
        <v>0</v>
      </c>
      <c r="AM1661">
        <v>0</v>
      </c>
      <c r="AN1661">
        <v>0</v>
      </c>
      <c r="AO1661">
        <v>0</v>
      </c>
      <c r="AP1661">
        <v>0</v>
      </c>
      <c r="AQ1661">
        <v>51.04</v>
      </c>
      <c r="AR1661">
        <v>0</v>
      </c>
      <c r="AS1661">
        <v>0</v>
      </c>
      <c r="AT1661">
        <v>0</v>
      </c>
      <c r="AU1661">
        <v>0</v>
      </c>
      <c r="AV1661">
        <v>0</v>
      </c>
      <c r="AW1661">
        <v>0</v>
      </c>
      <c r="AX1661">
        <v>0</v>
      </c>
      <c r="AY1661">
        <v>0</v>
      </c>
      <c r="AZ1661">
        <v>0</v>
      </c>
      <c r="BA1661">
        <v>0</v>
      </c>
      <c r="BB1661">
        <v>0</v>
      </c>
      <c r="BC1661">
        <v>0</v>
      </c>
      <c r="BD1661">
        <v>0</v>
      </c>
      <c r="BE1661">
        <v>0</v>
      </c>
      <c r="BF1661">
        <v>0</v>
      </c>
      <c r="BG1661">
        <v>0</v>
      </c>
      <c r="BH1661">
        <v>1</v>
      </c>
      <c r="BI1661">
        <v>4</v>
      </c>
      <c r="BJ1661">
        <v>3</v>
      </c>
      <c r="BK1661">
        <v>4</v>
      </c>
      <c r="BL1661">
        <v>152.1</v>
      </c>
      <c r="BM1661">
        <v>22.82</v>
      </c>
      <c r="BN1661">
        <v>174.92</v>
      </c>
      <c r="BO1661">
        <v>174.92</v>
      </c>
      <c r="BQ1661" t="s">
        <v>1352</v>
      </c>
      <c r="BR1661" t="s">
        <v>82</v>
      </c>
      <c r="BS1661" t="s">
        <v>500</v>
      </c>
      <c r="BV1661" t="s">
        <v>87</v>
      </c>
      <c r="BY1661">
        <v>15000</v>
      </c>
      <c r="CC1661" t="s">
        <v>95</v>
      </c>
      <c r="CD1661">
        <v>3610</v>
      </c>
      <c r="CE1661" t="s">
        <v>93</v>
      </c>
      <c r="CI1661">
        <v>1</v>
      </c>
      <c r="CJ1661" t="s">
        <v>500</v>
      </c>
      <c r="CK1661">
        <v>21</v>
      </c>
      <c r="CL1661" t="s">
        <v>87</v>
      </c>
    </row>
    <row r="1662" spans="1:90" x14ac:dyDescent="0.3">
      <c r="A1662" t="s">
        <v>72</v>
      </c>
      <c r="B1662" t="s">
        <v>73</v>
      </c>
      <c r="C1662" t="s">
        <v>74</v>
      </c>
      <c r="E1662" t="str">
        <f>"080069854248"</f>
        <v>080069854248</v>
      </c>
      <c r="F1662" s="3">
        <v>46002</v>
      </c>
      <c r="G1662">
        <v>202609</v>
      </c>
      <c r="H1662" t="s">
        <v>75</v>
      </c>
      <c r="I1662" t="s">
        <v>76</v>
      </c>
      <c r="J1662" t="s">
        <v>77</v>
      </c>
      <c r="K1662" t="s">
        <v>78</v>
      </c>
      <c r="L1662" t="s">
        <v>100</v>
      </c>
      <c r="M1662" t="s">
        <v>101</v>
      </c>
      <c r="N1662" t="s">
        <v>498</v>
      </c>
      <c r="O1662" t="s">
        <v>89</v>
      </c>
      <c r="P1662" t="str">
        <f>"4170073130                    "</f>
        <v xml:space="preserve">4170073130                    </v>
      </c>
      <c r="Q1662">
        <v>0</v>
      </c>
      <c r="R1662">
        <v>0</v>
      </c>
      <c r="S1662">
        <v>0</v>
      </c>
      <c r="T1662">
        <v>0</v>
      </c>
      <c r="U1662">
        <v>0</v>
      </c>
      <c r="V1662">
        <v>0</v>
      </c>
      <c r="W1662">
        <v>0</v>
      </c>
      <c r="X1662">
        <v>0</v>
      </c>
      <c r="Y1662">
        <v>0</v>
      </c>
      <c r="Z1662">
        <v>0</v>
      </c>
      <c r="AA1662">
        <v>0</v>
      </c>
      <c r="AB1662">
        <v>0</v>
      </c>
      <c r="AC1662">
        <v>0</v>
      </c>
      <c r="AD1662">
        <v>0</v>
      </c>
      <c r="AE1662">
        <v>0</v>
      </c>
      <c r="AF1662">
        <v>0</v>
      </c>
      <c r="AG1662">
        <v>0</v>
      </c>
      <c r="AH1662">
        <v>0</v>
      </c>
      <c r="AI1662">
        <v>0</v>
      </c>
      <c r="AJ1662">
        <v>0</v>
      </c>
      <c r="AK1662">
        <v>0</v>
      </c>
      <c r="AL1662">
        <v>0</v>
      </c>
      <c r="AM1662">
        <v>0</v>
      </c>
      <c r="AN1662">
        <v>0</v>
      </c>
      <c r="AO1662">
        <v>0</v>
      </c>
      <c r="AP1662">
        <v>0</v>
      </c>
      <c r="AQ1662">
        <v>25.52</v>
      </c>
      <c r="AR1662">
        <v>0</v>
      </c>
      <c r="AS1662">
        <v>0</v>
      </c>
      <c r="AT1662">
        <v>0</v>
      </c>
      <c r="AU1662">
        <v>0</v>
      </c>
      <c r="AV1662">
        <v>0</v>
      </c>
      <c r="AW1662">
        <v>0</v>
      </c>
      <c r="AX1662">
        <v>0</v>
      </c>
      <c r="AY1662">
        <v>0</v>
      </c>
      <c r="AZ1662">
        <v>0</v>
      </c>
      <c r="BA1662">
        <v>0</v>
      </c>
      <c r="BB1662">
        <v>0</v>
      </c>
      <c r="BC1662">
        <v>0</v>
      </c>
      <c r="BD1662">
        <v>0</v>
      </c>
      <c r="BE1662">
        <v>0</v>
      </c>
      <c r="BF1662">
        <v>0</v>
      </c>
      <c r="BG1662">
        <v>0</v>
      </c>
      <c r="BH1662">
        <v>1</v>
      </c>
      <c r="BI1662">
        <v>1</v>
      </c>
      <c r="BJ1662">
        <v>1.3</v>
      </c>
      <c r="BK1662">
        <v>1.5</v>
      </c>
      <c r="BL1662">
        <v>76.06</v>
      </c>
      <c r="BM1662">
        <v>11.41</v>
      </c>
      <c r="BN1662">
        <v>87.47</v>
      </c>
      <c r="BO1662">
        <v>87.47</v>
      </c>
      <c r="BQ1662" t="s">
        <v>499</v>
      </c>
      <c r="BR1662" t="s">
        <v>82</v>
      </c>
      <c r="BS1662" t="s">
        <v>500</v>
      </c>
      <c r="BV1662" t="s">
        <v>87</v>
      </c>
      <c r="BY1662">
        <v>6270</v>
      </c>
      <c r="CC1662" t="s">
        <v>101</v>
      </c>
      <c r="CD1662">
        <v>4052</v>
      </c>
      <c r="CE1662" t="s">
        <v>93</v>
      </c>
      <c r="CI1662">
        <v>1</v>
      </c>
      <c r="CJ1662" t="s">
        <v>500</v>
      </c>
      <c r="CK1662">
        <v>21</v>
      </c>
      <c r="CL1662" t="s">
        <v>87</v>
      </c>
    </row>
    <row r="1663" spans="1:90" x14ac:dyDescent="0.3">
      <c r="A1663" t="s">
        <v>72</v>
      </c>
      <c r="B1663" t="s">
        <v>73</v>
      </c>
      <c r="C1663" t="s">
        <v>74</v>
      </c>
      <c r="E1663" t="str">
        <f>"080069854264"</f>
        <v>080069854264</v>
      </c>
      <c r="F1663" s="3">
        <v>46002</v>
      </c>
      <c r="G1663">
        <v>202609</v>
      </c>
      <c r="H1663" t="s">
        <v>75</v>
      </c>
      <c r="I1663" t="s">
        <v>76</v>
      </c>
      <c r="J1663" t="s">
        <v>77</v>
      </c>
      <c r="K1663" t="s">
        <v>78</v>
      </c>
      <c r="L1663" t="s">
        <v>75</v>
      </c>
      <c r="M1663" t="s">
        <v>76</v>
      </c>
      <c r="N1663" t="s">
        <v>2223</v>
      </c>
      <c r="O1663" t="s">
        <v>340</v>
      </c>
      <c r="P1663" t="str">
        <f>"4170073110                    "</f>
        <v xml:space="preserve">4170073110                    </v>
      </c>
      <c r="Q1663">
        <v>0</v>
      </c>
      <c r="R1663">
        <v>0</v>
      </c>
      <c r="S1663">
        <v>0</v>
      </c>
      <c r="T1663">
        <v>0</v>
      </c>
      <c r="U1663">
        <v>0</v>
      </c>
      <c r="V1663">
        <v>0</v>
      </c>
      <c r="W1663">
        <v>0</v>
      </c>
      <c r="X1663">
        <v>0</v>
      </c>
      <c r="Y1663">
        <v>0</v>
      </c>
      <c r="Z1663">
        <v>0</v>
      </c>
      <c r="AA1663">
        <v>0</v>
      </c>
      <c r="AB1663">
        <v>0</v>
      </c>
      <c r="AC1663">
        <v>0</v>
      </c>
      <c r="AD1663">
        <v>0</v>
      </c>
      <c r="AE1663">
        <v>0</v>
      </c>
      <c r="AF1663">
        <v>0</v>
      </c>
      <c r="AG1663">
        <v>0</v>
      </c>
      <c r="AH1663">
        <v>0</v>
      </c>
      <c r="AI1663">
        <v>0</v>
      </c>
      <c r="AJ1663">
        <v>0</v>
      </c>
      <c r="AK1663">
        <v>0</v>
      </c>
      <c r="AL1663">
        <v>0</v>
      </c>
      <c r="AM1663">
        <v>0</v>
      </c>
      <c r="AN1663">
        <v>0</v>
      </c>
      <c r="AO1663">
        <v>0</v>
      </c>
      <c r="AP1663">
        <v>0</v>
      </c>
      <c r="AQ1663">
        <v>19.940000000000001</v>
      </c>
      <c r="AR1663">
        <v>0</v>
      </c>
      <c r="AS1663">
        <v>0</v>
      </c>
      <c r="AT1663">
        <v>0</v>
      </c>
      <c r="AU1663">
        <v>0</v>
      </c>
      <c r="AV1663">
        <v>0</v>
      </c>
      <c r="AW1663">
        <v>0</v>
      </c>
      <c r="AX1663">
        <v>0</v>
      </c>
      <c r="AY1663">
        <v>0</v>
      </c>
      <c r="AZ1663">
        <v>0</v>
      </c>
      <c r="BA1663">
        <v>0</v>
      </c>
      <c r="BB1663">
        <v>0</v>
      </c>
      <c r="BC1663">
        <v>0</v>
      </c>
      <c r="BD1663">
        <v>0</v>
      </c>
      <c r="BE1663">
        <v>0</v>
      </c>
      <c r="BF1663">
        <v>0</v>
      </c>
      <c r="BG1663">
        <v>0</v>
      </c>
      <c r="BH1663">
        <v>1</v>
      </c>
      <c r="BI1663">
        <v>7</v>
      </c>
      <c r="BJ1663">
        <v>2.7</v>
      </c>
      <c r="BK1663">
        <v>7</v>
      </c>
      <c r="BL1663">
        <v>59.43</v>
      </c>
      <c r="BM1663">
        <v>8.91</v>
      </c>
      <c r="BN1663">
        <v>68.34</v>
      </c>
      <c r="BO1663">
        <v>68.34</v>
      </c>
      <c r="BQ1663" t="s">
        <v>2224</v>
      </c>
      <c r="BR1663" t="s">
        <v>82</v>
      </c>
      <c r="BS1663" t="s">
        <v>500</v>
      </c>
      <c r="BV1663" t="s">
        <v>87</v>
      </c>
      <c r="BY1663">
        <v>13568</v>
      </c>
      <c r="CC1663" t="s">
        <v>76</v>
      </c>
      <c r="CD1663">
        <v>1601</v>
      </c>
      <c r="CE1663" t="s">
        <v>93</v>
      </c>
      <c r="CI1663">
        <v>1</v>
      </c>
      <c r="CJ1663" t="s">
        <v>500</v>
      </c>
      <c r="CK1663">
        <v>32</v>
      </c>
      <c r="CL1663" t="s">
        <v>87</v>
      </c>
    </row>
    <row r="1664" spans="1:90" x14ac:dyDescent="0.3">
      <c r="A1664" t="s">
        <v>72</v>
      </c>
      <c r="B1664" t="s">
        <v>73</v>
      </c>
      <c r="C1664" t="s">
        <v>74</v>
      </c>
      <c r="E1664" t="str">
        <f>"080069854279"</f>
        <v>080069854279</v>
      </c>
      <c r="F1664" s="3">
        <v>46002</v>
      </c>
      <c r="G1664">
        <v>202609</v>
      </c>
      <c r="H1664" t="s">
        <v>75</v>
      </c>
      <c r="I1664" t="s">
        <v>76</v>
      </c>
      <c r="J1664" t="s">
        <v>77</v>
      </c>
      <c r="K1664" t="s">
        <v>78</v>
      </c>
      <c r="L1664" t="s">
        <v>156</v>
      </c>
      <c r="M1664" t="s">
        <v>157</v>
      </c>
      <c r="N1664" t="s">
        <v>261</v>
      </c>
      <c r="O1664" t="s">
        <v>89</v>
      </c>
      <c r="P1664" t="str">
        <f>"4170073192                    "</f>
        <v xml:space="preserve">4170073192                    </v>
      </c>
      <c r="Q1664">
        <v>0</v>
      </c>
      <c r="R1664">
        <v>0</v>
      </c>
      <c r="S1664">
        <v>0</v>
      </c>
      <c r="T1664">
        <v>0</v>
      </c>
      <c r="U1664">
        <v>0</v>
      </c>
      <c r="V1664">
        <v>0</v>
      </c>
      <c r="W1664">
        <v>0</v>
      </c>
      <c r="X1664">
        <v>0</v>
      </c>
      <c r="Y1664">
        <v>0</v>
      </c>
      <c r="Z1664">
        <v>0</v>
      </c>
      <c r="AA1664">
        <v>0</v>
      </c>
      <c r="AB1664">
        <v>0</v>
      </c>
      <c r="AC1664">
        <v>0</v>
      </c>
      <c r="AD1664">
        <v>0</v>
      </c>
      <c r="AE1664">
        <v>0</v>
      </c>
      <c r="AF1664">
        <v>0</v>
      </c>
      <c r="AG1664">
        <v>0</v>
      </c>
      <c r="AH1664">
        <v>0</v>
      </c>
      <c r="AI1664">
        <v>0</v>
      </c>
      <c r="AJ1664">
        <v>0</v>
      </c>
      <c r="AK1664">
        <v>0</v>
      </c>
      <c r="AL1664">
        <v>0</v>
      </c>
      <c r="AM1664">
        <v>0</v>
      </c>
      <c r="AN1664">
        <v>0</v>
      </c>
      <c r="AO1664">
        <v>0</v>
      </c>
      <c r="AP1664">
        <v>0</v>
      </c>
      <c r="AQ1664">
        <v>25.52</v>
      </c>
      <c r="AR1664">
        <v>0</v>
      </c>
      <c r="AS1664">
        <v>0</v>
      </c>
      <c r="AT1664">
        <v>0</v>
      </c>
      <c r="AU1664">
        <v>0</v>
      </c>
      <c r="AV1664">
        <v>0</v>
      </c>
      <c r="AW1664">
        <v>0</v>
      </c>
      <c r="AX1664">
        <v>0</v>
      </c>
      <c r="AY1664">
        <v>0</v>
      </c>
      <c r="AZ1664">
        <v>0</v>
      </c>
      <c r="BA1664">
        <v>0</v>
      </c>
      <c r="BB1664">
        <v>0</v>
      </c>
      <c r="BC1664">
        <v>0</v>
      </c>
      <c r="BD1664">
        <v>0</v>
      </c>
      <c r="BE1664">
        <v>0</v>
      </c>
      <c r="BF1664">
        <v>0</v>
      </c>
      <c r="BG1664">
        <v>0</v>
      </c>
      <c r="BH1664">
        <v>1</v>
      </c>
      <c r="BI1664">
        <v>1</v>
      </c>
      <c r="BJ1664">
        <v>1.5</v>
      </c>
      <c r="BK1664">
        <v>1.5</v>
      </c>
      <c r="BL1664">
        <v>76.06</v>
      </c>
      <c r="BM1664">
        <v>11.41</v>
      </c>
      <c r="BN1664">
        <v>87.47</v>
      </c>
      <c r="BO1664">
        <v>87.47</v>
      </c>
      <c r="BQ1664" t="s">
        <v>262</v>
      </c>
      <c r="BR1664" t="s">
        <v>82</v>
      </c>
      <c r="BS1664" t="s">
        <v>500</v>
      </c>
      <c r="BV1664" t="s">
        <v>87</v>
      </c>
      <c r="BY1664">
        <v>7540</v>
      </c>
      <c r="CC1664" t="s">
        <v>157</v>
      </c>
      <c r="CD1664">
        <v>7441</v>
      </c>
      <c r="CE1664" t="s">
        <v>86</v>
      </c>
      <c r="CI1664">
        <v>1</v>
      </c>
      <c r="CJ1664" t="s">
        <v>500</v>
      </c>
      <c r="CK1664">
        <v>21</v>
      </c>
      <c r="CL1664" t="s">
        <v>87</v>
      </c>
    </row>
    <row r="1665" spans="1:90" x14ac:dyDescent="0.3">
      <c r="A1665" t="s">
        <v>72</v>
      </c>
      <c r="B1665" t="s">
        <v>73</v>
      </c>
      <c r="C1665" t="s">
        <v>74</v>
      </c>
      <c r="E1665" t="str">
        <f>"080069854314"</f>
        <v>080069854314</v>
      </c>
      <c r="F1665" s="3">
        <v>46002</v>
      </c>
      <c r="G1665">
        <v>202609</v>
      </c>
      <c r="H1665" t="s">
        <v>75</v>
      </c>
      <c r="I1665" t="s">
        <v>76</v>
      </c>
      <c r="J1665" t="s">
        <v>77</v>
      </c>
      <c r="K1665" t="s">
        <v>78</v>
      </c>
      <c r="L1665" t="s">
        <v>1804</v>
      </c>
      <c r="M1665" t="s">
        <v>1805</v>
      </c>
      <c r="N1665" t="s">
        <v>2225</v>
      </c>
      <c r="O1665" t="s">
        <v>80</v>
      </c>
      <c r="P1665" t="str">
        <f>"4170073129                    "</f>
        <v xml:space="preserve">4170073129                    </v>
      </c>
      <c r="Q1665">
        <v>0</v>
      </c>
      <c r="R1665">
        <v>0</v>
      </c>
      <c r="S1665">
        <v>0</v>
      </c>
      <c r="T1665">
        <v>0</v>
      </c>
      <c r="U1665">
        <v>0</v>
      </c>
      <c r="V1665">
        <v>0</v>
      </c>
      <c r="W1665">
        <v>0</v>
      </c>
      <c r="X1665">
        <v>0</v>
      </c>
      <c r="Y1665">
        <v>0</v>
      </c>
      <c r="Z1665">
        <v>0</v>
      </c>
      <c r="AA1665">
        <v>0</v>
      </c>
      <c r="AB1665">
        <v>0</v>
      </c>
      <c r="AC1665">
        <v>0</v>
      </c>
      <c r="AD1665">
        <v>0</v>
      </c>
      <c r="AE1665">
        <v>0</v>
      </c>
      <c r="AF1665">
        <v>0</v>
      </c>
      <c r="AG1665">
        <v>0</v>
      </c>
      <c r="AH1665">
        <v>0</v>
      </c>
      <c r="AI1665">
        <v>0</v>
      </c>
      <c r="AJ1665">
        <v>0</v>
      </c>
      <c r="AK1665">
        <v>0</v>
      </c>
      <c r="AL1665">
        <v>0</v>
      </c>
      <c r="AM1665">
        <v>0</v>
      </c>
      <c r="AN1665">
        <v>0</v>
      </c>
      <c r="AO1665">
        <v>0</v>
      </c>
      <c r="AP1665">
        <v>0</v>
      </c>
      <c r="AQ1665">
        <v>80.28</v>
      </c>
      <c r="AR1665">
        <v>0</v>
      </c>
      <c r="AS1665">
        <v>0</v>
      </c>
      <c r="AT1665">
        <v>0</v>
      </c>
      <c r="AU1665">
        <v>0</v>
      </c>
      <c r="AV1665">
        <v>0</v>
      </c>
      <c r="AW1665">
        <v>0</v>
      </c>
      <c r="AX1665">
        <v>0</v>
      </c>
      <c r="AY1665">
        <v>0</v>
      </c>
      <c r="AZ1665">
        <v>0</v>
      </c>
      <c r="BA1665">
        <v>0</v>
      </c>
      <c r="BB1665">
        <v>0</v>
      </c>
      <c r="BC1665">
        <v>0</v>
      </c>
      <c r="BD1665">
        <v>0</v>
      </c>
      <c r="BE1665">
        <v>0</v>
      </c>
      <c r="BF1665">
        <v>0</v>
      </c>
      <c r="BG1665">
        <v>0</v>
      </c>
      <c r="BH1665">
        <v>1</v>
      </c>
      <c r="BI1665">
        <v>16</v>
      </c>
      <c r="BJ1665">
        <v>17.7</v>
      </c>
      <c r="BK1665">
        <v>18</v>
      </c>
      <c r="BL1665">
        <v>245.35</v>
      </c>
      <c r="BM1665">
        <v>36.799999999999997</v>
      </c>
      <c r="BN1665">
        <v>282.14999999999998</v>
      </c>
      <c r="BO1665">
        <v>282.14999999999998</v>
      </c>
      <c r="BQ1665" t="s">
        <v>2226</v>
      </c>
      <c r="BR1665" t="s">
        <v>82</v>
      </c>
      <c r="BS1665" t="s">
        <v>500</v>
      </c>
      <c r="BV1665" t="s">
        <v>87</v>
      </c>
      <c r="BY1665">
        <v>88320</v>
      </c>
      <c r="CC1665" t="s">
        <v>1805</v>
      </c>
      <c r="CD1665">
        <v>1034</v>
      </c>
      <c r="CE1665" t="s">
        <v>86</v>
      </c>
      <c r="CI1665">
        <v>1</v>
      </c>
      <c r="CJ1665" t="s">
        <v>500</v>
      </c>
      <c r="CK1665">
        <v>43</v>
      </c>
      <c r="CL1665" t="s">
        <v>87</v>
      </c>
    </row>
    <row r="1666" spans="1:90" x14ac:dyDescent="0.3">
      <c r="A1666" t="s">
        <v>72</v>
      </c>
      <c r="B1666" t="s">
        <v>73</v>
      </c>
      <c r="C1666" t="s">
        <v>74</v>
      </c>
      <c r="E1666" t="str">
        <f>"080069854318"</f>
        <v>080069854318</v>
      </c>
      <c r="F1666" s="3">
        <v>46002</v>
      </c>
      <c r="G1666">
        <v>202609</v>
      </c>
      <c r="H1666" t="s">
        <v>75</v>
      </c>
      <c r="I1666" t="s">
        <v>76</v>
      </c>
      <c r="J1666" t="s">
        <v>77</v>
      </c>
      <c r="K1666" t="s">
        <v>78</v>
      </c>
      <c r="L1666" t="s">
        <v>128</v>
      </c>
      <c r="M1666" t="s">
        <v>129</v>
      </c>
      <c r="N1666" t="s">
        <v>183</v>
      </c>
      <c r="O1666" t="s">
        <v>89</v>
      </c>
      <c r="P1666" t="str">
        <f>"4170073201                    "</f>
        <v xml:space="preserve">4170073201                    </v>
      </c>
      <c r="Q1666">
        <v>0</v>
      </c>
      <c r="R1666">
        <v>0</v>
      </c>
      <c r="S1666">
        <v>0</v>
      </c>
      <c r="T1666">
        <v>0</v>
      </c>
      <c r="U1666">
        <v>0</v>
      </c>
      <c r="V1666">
        <v>0</v>
      </c>
      <c r="W1666">
        <v>0</v>
      </c>
      <c r="X1666">
        <v>0</v>
      </c>
      <c r="Y1666">
        <v>0</v>
      </c>
      <c r="Z1666">
        <v>0</v>
      </c>
      <c r="AA1666">
        <v>0</v>
      </c>
      <c r="AB1666">
        <v>0</v>
      </c>
      <c r="AC1666">
        <v>0</v>
      </c>
      <c r="AD1666">
        <v>0</v>
      </c>
      <c r="AE1666">
        <v>0</v>
      </c>
      <c r="AF1666">
        <v>0</v>
      </c>
      <c r="AG1666">
        <v>0</v>
      </c>
      <c r="AH1666">
        <v>0</v>
      </c>
      <c r="AI1666">
        <v>0</v>
      </c>
      <c r="AJ1666">
        <v>0</v>
      </c>
      <c r="AK1666">
        <v>0</v>
      </c>
      <c r="AL1666">
        <v>0</v>
      </c>
      <c r="AM1666">
        <v>0</v>
      </c>
      <c r="AN1666">
        <v>0</v>
      </c>
      <c r="AO1666">
        <v>0</v>
      </c>
      <c r="AP1666">
        <v>0</v>
      </c>
      <c r="AQ1666">
        <v>25.52</v>
      </c>
      <c r="AR1666">
        <v>0</v>
      </c>
      <c r="AS1666">
        <v>0</v>
      </c>
      <c r="AT1666">
        <v>0</v>
      </c>
      <c r="AU1666">
        <v>0</v>
      </c>
      <c r="AV1666">
        <v>0</v>
      </c>
      <c r="AW1666">
        <v>0</v>
      </c>
      <c r="AX1666">
        <v>0</v>
      </c>
      <c r="AY1666">
        <v>0</v>
      </c>
      <c r="AZ1666">
        <v>0</v>
      </c>
      <c r="BA1666">
        <v>0</v>
      </c>
      <c r="BB1666">
        <v>0</v>
      </c>
      <c r="BC1666">
        <v>0</v>
      </c>
      <c r="BD1666">
        <v>0</v>
      </c>
      <c r="BE1666">
        <v>0</v>
      </c>
      <c r="BF1666">
        <v>0</v>
      </c>
      <c r="BG1666">
        <v>0</v>
      </c>
      <c r="BH1666">
        <v>1</v>
      </c>
      <c r="BI1666">
        <v>1</v>
      </c>
      <c r="BJ1666">
        <v>2</v>
      </c>
      <c r="BK1666">
        <v>2</v>
      </c>
      <c r="BL1666">
        <v>76.06</v>
      </c>
      <c r="BM1666">
        <v>11.41</v>
      </c>
      <c r="BN1666">
        <v>87.47</v>
      </c>
      <c r="BO1666">
        <v>87.47</v>
      </c>
      <c r="BQ1666" t="s">
        <v>184</v>
      </c>
      <c r="BR1666" t="s">
        <v>82</v>
      </c>
      <c r="BS1666" t="s">
        <v>500</v>
      </c>
      <c r="BV1666" t="s">
        <v>87</v>
      </c>
      <c r="BY1666">
        <v>9900</v>
      </c>
      <c r="CC1666" t="s">
        <v>129</v>
      </c>
      <c r="CD1666">
        <v>5200</v>
      </c>
      <c r="CE1666" t="s">
        <v>86</v>
      </c>
      <c r="CI1666">
        <v>1</v>
      </c>
      <c r="CJ1666" t="s">
        <v>500</v>
      </c>
      <c r="CK1666">
        <v>21</v>
      </c>
      <c r="CL1666" t="s">
        <v>87</v>
      </c>
    </row>
    <row r="1667" spans="1:90" x14ac:dyDescent="0.3">
      <c r="A1667" t="s">
        <v>72</v>
      </c>
      <c r="B1667" t="s">
        <v>73</v>
      </c>
      <c r="C1667" t="s">
        <v>74</v>
      </c>
      <c r="E1667" t="str">
        <f>"080069854444"</f>
        <v>080069854444</v>
      </c>
      <c r="F1667" s="3">
        <v>46002</v>
      </c>
      <c r="G1667">
        <v>202609</v>
      </c>
      <c r="H1667" t="s">
        <v>75</v>
      </c>
      <c r="I1667" t="s">
        <v>76</v>
      </c>
      <c r="J1667" t="s">
        <v>77</v>
      </c>
      <c r="K1667" t="s">
        <v>78</v>
      </c>
      <c r="L1667" t="s">
        <v>156</v>
      </c>
      <c r="M1667" t="s">
        <v>157</v>
      </c>
      <c r="N1667" t="s">
        <v>434</v>
      </c>
      <c r="O1667" t="s">
        <v>89</v>
      </c>
      <c r="P1667" t="str">
        <f>"4170073219                    "</f>
        <v xml:space="preserve">4170073219                    </v>
      </c>
      <c r="Q1667">
        <v>0</v>
      </c>
      <c r="R1667">
        <v>0</v>
      </c>
      <c r="S1667">
        <v>0</v>
      </c>
      <c r="T1667">
        <v>0</v>
      </c>
      <c r="U1667">
        <v>0</v>
      </c>
      <c r="V1667">
        <v>0</v>
      </c>
      <c r="W1667">
        <v>0</v>
      </c>
      <c r="X1667">
        <v>0</v>
      </c>
      <c r="Y1667">
        <v>0</v>
      </c>
      <c r="Z1667">
        <v>0</v>
      </c>
      <c r="AA1667">
        <v>0</v>
      </c>
      <c r="AB1667">
        <v>0</v>
      </c>
      <c r="AC1667">
        <v>0</v>
      </c>
      <c r="AD1667">
        <v>0</v>
      </c>
      <c r="AE1667">
        <v>0</v>
      </c>
      <c r="AF1667">
        <v>0</v>
      </c>
      <c r="AG1667">
        <v>0</v>
      </c>
      <c r="AH1667">
        <v>0</v>
      </c>
      <c r="AI1667">
        <v>0</v>
      </c>
      <c r="AJ1667">
        <v>0</v>
      </c>
      <c r="AK1667">
        <v>0</v>
      </c>
      <c r="AL1667">
        <v>0</v>
      </c>
      <c r="AM1667">
        <v>0</v>
      </c>
      <c r="AN1667">
        <v>0</v>
      </c>
      <c r="AO1667">
        <v>0</v>
      </c>
      <c r="AP1667">
        <v>0</v>
      </c>
      <c r="AQ1667">
        <v>25.52</v>
      </c>
      <c r="AR1667">
        <v>0</v>
      </c>
      <c r="AS1667">
        <v>0</v>
      </c>
      <c r="AT1667">
        <v>0</v>
      </c>
      <c r="AU1667">
        <v>0</v>
      </c>
      <c r="AV1667">
        <v>0</v>
      </c>
      <c r="AW1667">
        <v>0</v>
      </c>
      <c r="AX1667">
        <v>0</v>
      </c>
      <c r="AY1667">
        <v>0</v>
      </c>
      <c r="AZ1667">
        <v>0</v>
      </c>
      <c r="BA1667">
        <v>0</v>
      </c>
      <c r="BB1667">
        <v>0</v>
      </c>
      <c r="BC1667">
        <v>0</v>
      </c>
      <c r="BD1667">
        <v>0</v>
      </c>
      <c r="BE1667">
        <v>0</v>
      </c>
      <c r="BF1667">
        <v>0</v>
      </c>
      <c r="BG1667">
        <v>0</v>
      </c>
      <c r="BH1667">
        <v>1</v>
      </c>
      <c r="BI1667">
        <v>1</v>
      </c>
      <c r="BJ1667">
        <v>0.2</v>
      </c>
      <c r="BK1667">
        <v>1</v>
      </c>
      <c r="BL1667">
        <v>76.06</v>
      </c>
      <c r="BM1667">
        <v>11.41</v>
      </c>
      <c r="BN1667">
        <v>87.47</v>
      </c>
      <c r="BO1667">
        <v>87.47</v>
      </c>
      <c r="BQ1667" t="s">
        <v>435</v>
      </c>
      <c r="BR1667" t="s">
        <v>82</v>
      </c>
      <c r="BS1667" t="s">
        <v>500</v>
      </c>
      <c r="BV1667" t="s">
        <v>87</v>
      </c>
      <c r="BY1667">
        <v>1200</v>
      </c>
      <c r="CC1667" t="s">
        <v>157</v>
      </c>
      <c r="CD1667">
        <v>7441</v>
      </c>
      <c r="CE1667" t="s">
        <v>134</v>
      </c>
      <c r="CI1667">
        <v>1</v>
      </c>
      <c r="CJ1667" t="s">
        <v>500</v>
      </c>
      <c r="CK1667">
        <v>21</v>
      </c>
      <c r="CL1667" t="s">
        <v>87</v>
      </c>
    </row>
    <row r="1668" spans="1:90" x14ac:dyDescent="0.3">
      <c r="A1668" t="s">
        <v>72</v>
      </c>
      <c r="B1668" t="s">
        <v>73</v>
      </c>
      <c r="C1668" t="s">
        <v>74</v>
      </c>
      <c r="E1668" t="str">
        <f>"080069854453"</f>
        <v>080069854453</v>
      </c>
      <c r="F1668" s="3">
        <v>46002</v>
      </c>
      <c r="G1668">
        <v>202609</v>
      </c>
      <c r="H1668" t="s">
        <v>75</v>
      </c>
      <c r="I1668" t="s">
        <v>76</v>
      </c>
      <c r="J1668" t="s">
        <v>77</v>
      </c>
      <c r="K1668" t="s">
        <v>78</v>
      </c>
      <c r="L1668" t="s">
        <v>128</v>
      </c>
      <c r="M1668" t="s">
        <v>129</v>
      </c>
      <c r="N1668" t="s">
        <v>383</v>
      </c>
      <c r="O1668" t="s">
        <v>89</v>
      </c>
      <c r="P1668" t="str">
        <f>"4170073121                    "</f>
        <v xml:space="preserve">4170073121                    </v>
      </c>
      <c r="Q1668">
        <v>0</v>
      </c>
      <c r="R1668">
        <v>0</v>
      </c>
      <c r="S1668">
        <v>0</v>
      </c>
      <c r="T1668">
        <v>0</v>
      </c>
      <c r="U1668">
        <v>0</v>
      </c>
      <c r="V1668">
        <v>0</v>
      </c>
      <c r="W1668">
        <v>0</v>
      </c>
      <c r="X1668">
        <v>0</v>
      </c>
      <c r="Y1668">
        <v>0</v>
      </c>
      <c r="Z1668">
        <v>0</v>
      </c>
      <c r="AA1668">
        <v>0</v>
      </c>
      <c r="AB1668">
        <v>0</v>
      </c>
      <c r="AC1668">
        <v>0</v>
      </c>
      <c r="AD1668">
        <v>0</v>
      </c>
      <c r="AE1668">
        <v>0</v>
      </c>
      <c r="AF1668">
        <v>0</v>
      </c>
      <c r="AG1668">
        <v>0</v>
      </c>
      <c r="AH1668">
        <v>0</v>
      </c>
      <c r="AI1668">
        <v>0</v>
      </c>
      <c r="AJ1668">
        <v>0</v>
      </c>
      <c r="AK1668">
        <v>0</v>
      </c>
      <c r="AL1668">
        <v>0</v>
      </c>
      <c r="AM1668">
        <v>0</v>
      </c>
      <c r="AN1668">
        <v>0</v>
      </c>
      <c r="AO1668">
        <v>0</v>
      </c>
      <c r="AP1668">
        <v>0</v>
      </c>
      <c r="AQ1668">
        <v>114.82</v>
      </c>
      <c r="AR1668">
        <v>0</v>
      </c>
      <c r="AS1668">
        <v>0</v>
      </c>
      <c r="AT1668">
        <v>0</v>
      </c>
      <c r="AU1668">
        <v>0</v>
      </c>
      <c r="AV1668">
        <v>0</v>
      </c>
      <c r="AW1668">
        <v>0</v>
      </c>
      <c r="AX1668">
        <v>0</v>
      </c>
      <c r="AY1668">
        <v>0</v>
      </c>
      <c r="AZ1668">
        <v>0</v>
      </c>
      <c r="BA1668">
        <v>0</v>
      </c>
      <c r="BB1668">
        <v>0</v>
      </c>
      <c r="BC1668">
        <v>0</v>
      </c>
      <c r="BD1668">
        <v>0</v>
      </c>
      <c r="BE1668">
        <v>0</v>
      </c>
      <c r="BF1668">
        <v>0</v>
      </c>
      <c r="BG1668">
        <v>0</v>
      </c>
      <c r="BH1668">
        <v>1</v>
      </c>
      <c r="BI1668">
        <v>5</v>
      </c>
      <c r="BJ1668">
        <v>8.8000000000000007</v>
      </c>
      <c r="BK1668">
        <v>9</v>
      </c>
      <c r="BL1668">
        <v>342.18</v>
      </c>
      <c r="BM1668">
        <v>51.33</v>
      </c>
      <c r="BN1668">
        <v>393.51</v>
      </c>
      <c r="BO1668">
        <v>393.51</v>
      </c>
      <c r="BQ1668" t="s">
        <v>384</v>
      </c>
      <c r="BR1668" t="s">
        <v>82</v>
      </c>
      <c r="BS1668" t="s">
        <v>500</v>
      </c>
      <c r="BV1668" t="s">
        <v>87</v>
      </c>
      <c r="BY1668">
        <v>44080</v>
      </c>
      <c r="CC1668" t="s">
        <v>129</v>
      </c>
      <c r="CD1668">
        <v>5201</v>
      </c>
      <c r="CE1668" t="s">
        <v>93</v>
      </c>
      <c r="CI1668">
        <v>1</v>
      </c>
      <c r="CJ1668" t="s">
        <v>500</v>
      </c>
      <c r="CK1668">
        <v>21</v>
      </c>
      <c r="CL1668" t="s">
        <v>87</v>
      </c>
    </row>
    <row r="1669" spans="1:90" x14ac:dyDescent="0.3">
      <c r="A1669" t="s">
        <v>72</v>
      </c>
      <c r="B1669" t="s">
        <v>73</v>
      </c>
      <c r="C1669" t="s">
        <v>74</v>
      </c>
      <c r="E1669" t="str">
        <f>"080069854458"</f>
        <v>080069854458</v>
      </c>
      <c r="F1669" s="3">
        <v>46002</v>
      </c>
      <c r="G1669">
        <v>202609</v>
      </c>
      <c r="H1669" t="s">
        <v>75</v>
      </c>
      <c r="I1669" t="s">
        <v>76</v>
      </c>
      <c r="J1669" t="s">
        <v>77</v>
      </c>
      <c r="K1669" t="s">
        <v>78</v>
      </c>
      <c r="L1669" t="s">
        <v>502</v>
      </c>
      <c r="M1669" t="s">
        <v>503</v>
      </c>
      <c r="N1669" t="s">
        <v>738</v>
      </c>
      <c r="O1669" t="s">
        <v>89</v>
      </c>
      <c r="P1669" t="str">
        <f>"4170073215                    "</f>
        <v xml:space="preserve">4170073215                    </v>
      </c>
      <c r="Q1669">
        <v>0</v>
      </c>
      <c r="R1669">
        <v>0</v>
      </c>
      <c r="S1669">
        <v>0</v>
      </c>
      <c r="T1669">
        <v>0</v>
      </c>
      <c r="U1669">
        <v>0</v>
      </c>
      <c r="V1669">
        <v>0</v>
      </c>
      <c r="W1669">
        <v>0</v>
      </c>
      <c r="X1669">
        <v>0</v>
      </c>
      <c r="Y1669">
        <v>0</v>
      </c>
      <c r="Z1669">
        <v>0</v>
      </c>
      <c r="AA1669">
        <v>0</v>
      </c>
      <c r="AB1669">
        <v>0</v>
      </c>
      <c r="AC1669">
        <v>0</v>
      </c>
      <c r="AD1669">
        <v>0</v>
      </c>
      <c r="AE1669">
        <v>0</v>
      </c>
      <c r="AF1669">
        <v>0</v>
      </c>
      <c r="AG1669">
        <v>0</v>
      </c>
      <c r="AH1669">
        <v>0</v>
      </c>
      <c r="AI1669">
        <v>0</v>
      </c>
      <c r="AJ1669">
        <v>0</v>
      </c>
      <c r="AK1669">
        <v>0</v>
      </c>
      <c r="AL1669">
        <v>0</v>
      </c>
      <c r="AM1669">
        <v>0</v>
      </c>
      <c r="AN1669">
        <v>0</v>
      </c>
      <c r="AO1669">
        <v>0</v>
      </c>
      <c r="AP1669">
        <v>0</v>
      </c>
      <c r="AQ1669">
        <v>19.940000000000001</v>
      </c>
      <c r="AR1669">
        <v>0</v>
      </c>
      <c r="AS1669">
        <v>0</v>
      </c>
      <c r="AT1669">
        <v>0</v>
      </c>
      <c r="AU1669">
        <v>0</v>
      </c>
      <c r="AV1669">
        <v>0</v>
      </c>
      <c r="AW1669">
        <v>0</v>
      </c>
      <c r="AX1669">
        <v>0</v>
      </c>
      <c r="AY1669">
        <v>0</v>
      </c>
      <c r="AZ1669">
        <v>0</v>
      </c>
      <c r="BA1669">
        <v>0</v>
      </c>
      <c r="BB1669">
        <v>0</v>
      </c>
      <c r="BC1669">
        <v>0</v>
      </c>
      <c r="BD1669">
        <v>0</v>
      </c>
      <c r="BE1669">
        <v>0</v>
      </c>
      <c r="BF1669">
        <v>0</v>
      </c>
      <c r="BG1669">
        <v>0</v>
      </c>
      <c r="BH1669">
        <v>1</v>
      </c>
      <c r="BI1669">
        <v>1</v>
      </c>
      <c r="BJ1669">
        <v>0.2</v>
      </c>
      <c r="BK1669">
        <v>1</v>
      </c>
      <c r="BL1669">
        <v>59.42</v>
      </c>
      <c r="BM1669">
        <v>8.91</v>
      </c>
      <c r="BN1669">
        <v>68.33</v>
      </c>
      <c r="BO1669">
        <v>68.33</v>
      </c>
      <c r="BQ1669" t="s">
        <v>739</v>
      </c>
      <c r="BR1669" t="s">
        <v>82</v>
      </c>
      <c r="BS1669" t="s">
        <v>500</v>
      </c>
      <c r="BV1669" t="s">
        <v>87</v>
      </c>
      <c r="BY1669">
        <v>1200</v>
      </c>
      <c r="CC1669" t="s">
        <v>503</v>
      </c>
      <c r="CD1669">
        <v>1559</v>
      </c>
      <c r="CE1669" t="s">
        <v>134</v>
      </c>
      <c r="CI1669">
        <v>1</v>
      </c>
      <c r="CJ1669" t="s">
        <v>500</v>
      </c>
      <c r="CK1669">
        <v>22</v>
      </c>
      <c r="CL1669" t="s">
        <v>87</v>
      </c>
    </row>
    <row r="1670" spans="1:90" x14ac:dyDescent="0.3">
      <c r="A1670" t="s">
        <v>72</v>
      </c>
      <c r="B1670" t="s">
        <v>73</v>
      </c>
      <c r="C1670" t="s">
        <v>74</v>
      </c>
      <c r="E1670" t="str">
        <f>"080069854466"</f>
        <v>080069854466</v>
      </c>
      <c r="F1670" s="3">
        <v>46002</v>
      </c>
      <c r="G1670">
        <v>202609</v>
      </c>
      <c r="H1670" t="s">
        <v>75</v>
      </c>
      <c r="I1670" t="s">
        <v>76</v>
      </c>
      <c r="J1670" t="s">
        <v>77</v>
      </c>
      <c r="K1670" t="s">
        <v>78</v>
      </c>
      <c r="L1670" t="s">
        <v>75</v>
      </c>
      <c r="M1670" t="s">
        <v>76</v>
      </c>
      <c r="N1670" t="s">
        <v>2227</v>
      </c>
      <c r="O1670" t="s">
        <v>340</v>
      </c>
      <c r="P1670" t="str">
        <f>"4170072971                    "</f>
        <v xml:space="preserve">4170072971                    </v>
      </c>
      <c r="Q1670">
        <v>0</v>
      </c>
      <c r="R1670">
        <v>0</v>
      </c>
      <c r="S1670">
        <v>0</v>
      </c>
      <c r="T1670">
        <v>0</v>
      </c>
      <c r="U1670">
        <v>0</v>
      </c>
      <c r="V1670">
        <v>0</v>
      </c>
      <c r="W1670">
        <v>0</v>
      </c>
      <c r="X1670">
        <v>0</v>
      </c>
      <c r="Y1670">
        <v>0</v>
      </c>
      <c r="Z1670">
        <v>0</v>
      </c>
      <c r="AA1670">
        <v>0</v>
      </c>
      <c r="AB1670">
        <v>0</v>
      </c>
      <c r="AC1670">
        <v>0</v>
      </c>
      <c r="AD1670">
        <v>0</v>
      </c>
      <c r="AE1670">
        <v>0</v>
      </c>
      <c r="AF1670">
        <v>0</v>
      </c>
      <c r="AG1670">
        <v>0</v>
      </c>
      <c r="AH1670">
        <v>0</v>
      </c>
      <c r="AI1670">
        <v>0</v>
      </c>
      <c r="AJ1670">
        <v>0</v>
      </c>
      <c r="AK1670">
        <v>0</v>
      </c>
      <c r="AL1670">
        <v>0</v>
      </c>
      <c r="AM1670">
        <v>0</v>
      </c>
      <c r="AN1670">
        <v>0</v>
      </c>
      <c r="AO1670">
        <v>0</v>
      </c>
      <c r="AP1670">
        <v>0</v>
      </c>
      <c r="AQ1670">
        <v>19.940000000000001</v>
      </c>
      <c r="AR1670">
        <v>0</v>
      </c>
      <c r="AS1670">
        <v>0</v>
      </c>
      <c r="AT1670">
        <v>0</v>
      </c>
      <c r="AU1670">
        <v>0</v>
      </c>
      <c r="AV1670">
        <v>0</v>
      </c>
      <c r="AW1670">
        <v>0</v>
      </c>
      <c r="AX1670">
        <v>0</v>
      </c>
      <c r="AY1670">
        <v>0</v>
      </c>
      <c r="AZ1670">
        <v>0</v>
      </c>
      <c r="BA1670">
        <v>0</v>
      </c>
      <c r="BB1670">
        <v>0</v>
      </c>
      <c r="BC1670">
        <v>0</v>
      </c>
      <c r="BD1670">
        <v>0</v>
      </c>
      <c r="BE1670">
        <v>0</v>
      </c>
      <c r="BF1670">
        <v>0</v>
      </c>
      <c r="BG1670">
        <v>0</v>
      </c>
      <c r="BH1670">
        <v>1</v>
      </c>
      <c r="BI1670">
        <v>2</v>
      </c>
      <c r="BJ1670">
        <v>3</v>
      </c>
      <c r="BK1670">
        <v>3</v>
      </c>
      <c r="BL1670">
        <v>59.43</v>
      </c>
      <c r="BM1670">
        <v>8.91</v>
      </c>
      <c r="BN1670">
        <v>68.34</v>
      </c>
      <c r="BO1670">
        <v>68.34</v>
      </c>
      <c r="BQ1670" t="s">
        <v>2228</v>
      </c>
      <c r="BR1670" t="s">
        <v>82</v>
      </c>
      <c r="BS1670" s="3">
        <v>46003</v>
      </c>
      <c r="BT1670" s="4">
        <v>0.34027777777777779</v>
      </c>
      <c r="BU1670" t="s">
        <v>2229</v>
      </c>
      <c r="BV1670" t="s">
        <v>84</v>
      </c>
      <c r="BY1670">
        <v>14976</v>
      </c>
      <c r="CA1670" t="s">
        <v>763</v>
      </c>
      <c r="CC1670" t="s">
        <v>76</v>
      </c>
      <c r="CD1670">
        <v>1665</v>
      </c>
      <c r="CE1670" t="s">
        <v>93</v>
      </c>
      <c r="CI1670">
        <v>1</v>
      </c>
      <c r="CJ1670">
        <v>1</v>
      </c>
      <c r="CK1670">
        <v>32</v>
      </c>
      <c r="CL1670" t="s">
        <v>87</v>
      </c>
    </row>
    <row r="1671" spans="1:90" x14ac:dyDescent="0.3">
      <c r="A1671" t="s">
        <v>72</v>
      </c>
      <c r="B1671" t="s">
        <v>73</v>
      </c>
      <c r="C1671" t="s">
        <v>74</v>
      </c>
      <c r="E1671" t="str">
        <f>"080069854468"</f>
        <v>080069854468</v>
      </c>
      <c r="F1671" s="3">
        <v>46002</v>
      </c>
      <c r="G1671">
        <v>202609</v>
      </c>
      <c r="H1671" t="s">
        <v>75</v>
      </c>
      <c r="I1671" t="s">
        <v>76</v>
      </c>
      <c r="J1671" t="s">
        <v>77</v>
      </c>
      <c r="K1671" t="s">
        <v>78</v>
      </c>
      <c r="L1671" t="s">
        <v>302</v>
      </c>
      <c r="M1671" t="s">
        <v>303</v>
      </c>
      <c r="N1671" t="s">
        <v>1169</v>
      </c>
      <c r="O1671" t="s">
        <v>89</v>
      </c>
      <c r="P1671" t="str">
        <f>"4170073062                    "</f>
        <v xml:space="preserve">4170073062                    </v>
      </c>
      <c r="Q1671">
        <v>0</v>
      </c>
      <c r="R1671">
        <v>0</v>
      </c>
      <c r="S1671">
        <v>0</v>
      </c>
      <c r="T1671">
        <v>0</v>
      </c>
      <c r="U1671">
        <v>0</v>
      </c>
      <c r="V1671">
        <v>0</v>
      </c>
      <c r="W1671">
        <v>0</v>
      </c>
      <c r="X1671">
        <v>0</v>
      </c>
      <c r="Y1671">
        <v>0</v>
      </c>
      <c r="Z1671">
        <v>0</v>
      </c>
      <c r="AA1671">
        <v>0</v>
      </c>
      <c r="AB1671">
        <v>0</v>
      </c>
      <c r="AC1671">
        <v>0</v>
      </c>
      <c r="AD1671">
        <v>0</v>
      </c>
      <c r="AE1671">
        <v>0</v>
      </c>
      <c r="AF1671">
        <v>0</v>
      </c>
      <c r="AG1671">
        <v>0</v>
      </c>
      <c r="AH1671">
        <v>0</v>
      </c>
      <c r="AI1671">
        <v>0</v>
      </c>
      <c r="AJ1671">
        <v>0</v>
      </c>
      <c r="AK1671">
        <v>0</v>
      </c>
      <c r="AL1671">
        <v>0</v>
      </c>
      <c r="AM1671">
        <v>0</v>
      </c>
      <c r="AN1671">
        <v>0</v>
      </c>
      <c r="AO1671">
        <v>0</v>
      </c>
      <c r="AP1671">
        <v>0</v>
      </c>
      <c r="AQ1671">
        <v>25.52</v>
      </c>
      <c r="AR1671">
        <v>0</v>
      </c>
      <c r="AS1671">
        <v>0</v>
      </c>
      <c r="AT1671">
        <v>0</v>
      </c>
      <c r="AU1671">
        <v>0</v>
      </c>
      <c r="AV1671">
        <v>0</v>
      </c>
      <c r="AW1671">
        <v>0</v>
      </c>
      <c r="AX1671">
        <v>0</v>
      </c>
      <c r="AY1671">
        <v>0</v>
      </c>
      <c r="AZ1671">
        <v>0</v>
      </c>
      <c r="BA1671">
        <v>0</v>
      </c>
      <c r="BB1671">
        <v>0</v>
      </c>
      <c r="BC1671">
        <v>0</v>
      </c>
      <c r="BD1671">
        <v>0</v>
      </c>
      <c r="BE1671">
        <v>0</v>
      </c>
      <c r="BF1671">
        <v>0</v>
      </c>
      <c r="BG1671">
        <v>0</v>
      </c>
      <c r="BH1671">
        <v>1</v>
      </c>
      <c r="BI1671">
        <v>1</v>
      </c>
      <c r="BJ1671">
        <v>0.2</v>
      </c>
      <c r="BK1671">
        <v>1</v>
      </c>
      <c r="BL1671">
        <v>76.06</v>
      </c>
      <c r="BM1671">
        <v>11.41</v>
      </c>
      <c r="BN1671">
        <v>87.47</v>
      </c>
      <c r="BO1671">
        <v>87.47</v>
      </c>
      <c r="BQ1671" t="s">
        <v>1170</v>
      </c>
      <c r="BR1671" t="s">
        <v>82</v>
      </c>
      <c r="BS1671" t="s">
        <v>500</v>
      </c>
      <c r="BV1671" t="s">
        <v>87</v>
      </c>
      <c r="BY1671">
        <v>1200</v>
      </c>
      <c r="CC1671" t="s">
        <v>303</v>
      </c>
      <c r="CD1671" s="5" t="s">
        <v>933</v>
      </c>
      <c r="CE1671" t="s">
        <v>134</v>
      </c>
      <c r="CI1671">
        <v>1</v>
      </c>
      <c r="CJ1671" t="s">
        <v>500</v>
      </c>
      <c r="CK1671">
        <v>21</v>
      </c>
      <c r="CL1671" t="s">
        <v>87</v>
      </c>
    </row>
    <row r="1672" spans="1:90" x14ac:dyDescent="0.3">
      <c r="A1672" t="s">
        <v>72</v>
      </c>
      <c r="B1672" t="s">
        <v>73</v>
      </c>
      <c r="C1672" t="s">
        <v>74</v>
      </c>
      <c r="E1672" t="str">
        <f>"080069854478"</f>
        <v>080069854478</v>
      </c>
      <c r="F1672" s="3">
        <v>46002</v>
      </c>
      <c r="G1672">
        <v>202609</v>
      </c>
      <c r="H1672" t="s">
        <v>75</v>
      </c>
      <c r="I1672" t="s">
        <v>76</v>
      </c>
      <c r="J1672" t="s">
        <v>77</v>
      </c>
      <c r="K1672" t="s">
        <v>78</v>
      </c>
      <c r="L1672" t="s">
        <v>156</v>
      </c>
      <c r="M1672" t="s">
        <v>157</v>
      </c>
      <c r="N1672" t="s">
        <v>443</v>
      </c>
      <c r="O1672" t="s">
        <v>89</v>
      </c>
      <c r="P1672" t="str">
        <f>"4170073142                    "</f>
        <v xml:space="preserve">4170073142                    </v>
      </c>
      <c r="Q1672">
        <v>0</v>
      </c>
      <c r="R1672">
        <v>0</v>
      </c>
      <c r="S1672">
        <v>0</v>
      </c>
      <c r="T1672">
        <v>0</v>
      </c>
      <c r="U1672">
        <v>0</v>
      </c>
      <c r="V1672">
        <v>0</v>
      </c>
      <c r="W1672">
        <v>0</v>
      </c>
      <c r="X1672">
        <v>0</v>
      </c>
      <c r="Y1672">
        <v>0</v>
      </c>
      <c r="Z1672">
        <v>0</v>
      </c>
      <c r="AA1672">
        <v>0</v>
      </c>
      <c r="AB1672">
        <v>0</v>
      </c>
      <c r="AC1672">
        <v>0</v>
      </c>
      <c r="AD1672">
        <v>0</v>
      </c>
      <c r="AE1672">
        <v>0</v>
      </c>
      <c r="AF1672">
        <v>0</v>
      </c>
      <c r="AG1672">
        <v>0</v>
      </c>
      <c r="AH1672">
        <v>0</v>
      </c>
      <c r="AI1672">
        <v>0</v>
      </c>
      <c r="AJ1672">
        <v>0</v>
      </c>
      <c r="AK1672">
        <v>0</v>
      </c>
      <c r="AL1672">
        <v>0</v>
      </c>
      <c r="AM1672">
        <v>0</v>
      </c>
      <c r="AN1672">
        <v>0</v>
      </c>
      <c r="AO1672">
        <v>0</v>
      </c>
      <c r="AP1672">
        <v>0</v>
      </c>
      <c r="AQ1672">
        <v>25.52</v>
      </c>
      <c r="AR1672">
        <v>0</v>
      </c>
      <c r="AS1672">
        <v>0</v>
      </c>
      <c r="AT1672">
        <v>0</v>
      </c>
      <c r="AU1672">
        <v>0</v>
      </c>
      <c r="AV1672">
        <v>0</v>
      </c>
      <c r="AW1672">
        <v>0</v>
      </c>
      <c r="AX1672">
        <v>0</v>
      </c>
      <c r="AY1672">
        <v>0</v>
      </c>
      <c r="AZ1672">
        <v>0</v>
      </c>
      <c r="BA1672">
        <v>0</v>
      </c>
      <c r="BB1672">
        <v>0</v>
      </c>
      <c r="BC1672">
        <v>0</v>
      </c>
      <c r="BD1672">
        <v>0</v>
      </c>
      <c r="BE1672">
        <v>0</v>
      </c>
      <c r="BF1672">
        <v>0</v>
      </c>
      <c r="BG1672">
        <v>0</v>
      </c>
      <c r="BH1672">
        <v>1</v>
      </c>
      <c r="BI1672">
        <v>1</v>
      </c>
      <c r="BJ1672">
        <v>0.2</v>
      </c>
      <c r="BK1672">
        <v>1</v>
      </c>
      <c r="BL1672">
        <v>76.06</v>
      </c>
      <c r="BM1672">
        <v>11.41</v>
      </c>
      <c r="BN1672">
        <v>87.47</v>
      </c>
      <c r="BO1672">
        <v>87.47</v>
      </c>
      <c r="BQ1672" t="s">
        <v>444</v>
      </c>
      <c r="BR1672" t="s">
        <v>82</v>
      </c>
      <c r="BS1672" t="s">
        <v>500</v>
      </c>
      <c r="BV1672" t="s">
        <v>87</v>
      </c>
      <c r="BY1672">
        <v>1200</v>
      </c>
      <c r="CC1672" t="s">
        <v>157</v>
      </c>
      <c r="CD1672">
        <v>7530</v>
      </c>
      <c r="CE1672" t="s">
        <v>134</v>
      </c>
      <c r="CI1672">
        <v>1</v>
      </c>
      <c r="CJ1672" t="s">
        <v>500</v>
      </c>
      <c r="CK1672">
        <v>21</v>
      </c>
      <c r="CL1672" t="s">
        <v>87</v>
      </c>
    </row>
    <row r="1673" spans="1:90" x14ac:dyDescent="0.3">
      <c r="A1673" t="s">
        <v>72</v>
      </c>
      <c r="B1673" t="s">
        <v>73</v>
      </c>
      <c r="C1673" t="s">
        <v>74</v>
      </c>
      <c r="E1673" t="str">
        <f>"080069854480"</f>
        <v>080069854480</v>
      </c>
      <c r="F1673" s="3">
        <v>46002</v>
      </c>
      <c r="G1673">
        <v>202609</v>
      </c>
      <c r="H1673" t="s">
        <v>75</v>
      </c>
      <c r="I1673" t="s">
        <v>76</v>
      </c>
      <c r="J1673" t="s">
        <v>77</v>
      </c>
      <c r="K1673" t="s">
        <v>78</v>
      </c>
      <c r="L1673" t="s">
        <v>156</v>
      </c>
      <c r="M1673" t="s">
        <v>157</v>
      </c>
      <c r="N1673" t="s">
        <v>434</v>
      </c>
      <c r="O1673" t="s">
        <v>89</v>
      </c>
      <c r="P1673" t="str">
        <f>"4170073132                    "</f>
        <v xml:space="preserve">4170073132                    </v>
      </c>
      <c r="Q1673">
        <v>0</v>
      </c>
      <c r="R1673">
        <v>0</v>
      </c>
      <c r="S1673">
        <v>0</v>
      </c>
      <c r="T1673">
        <v>0</v>
      </c>
      <c r="U1673">
        <v>0</v>
      </c>
      <c r="V1673">
        <v>0</v>
      </c>
      <c r="W1673">
        <v>0</v>
      </c>
      <c r="X1673">
        <v>0</v>
      </c>
      <c r="Y1673">
        <v>0</v>
      </c>
      <c r="Z1673">
        <v>0</v>
      </c>
      <c r="AA1673">
        <v>0</v>
      </c>
      <c r="AB1673">
        <v>0</v>
      </c>
      <c r="AC1673">
        <v>0</v>
      </c>
      <c r="AD1673">
        <v>0</v>
      </c>
      <c r="AE1673">
        <v>0</v>
      </c>
      <c r="AF1673">
        <v>0</v>
      </c>
      <c r="AG1673">
        <v>0</v>
      </c>
      <c r="AH1673">
        <v>0</v>
      </c>
      <c r="AI1673">
        <v>0</v>
      </c>
      <c r="AJ1673">
        <v>0</v>
      </c>
      <c r="AK1673">
        <v>0</v>
      </c>
      <c r="AL1673">
        <v>0</v>
      </c>
      <c r="AM1673">
        <v>0</v>
      </c>
      <c r="AN1673">
        <v>0</v>
      </c>
      <c r="AO1673">
        <v>0</v>
      </c>
      <c r="AP1673">
        <v>0</v>
      </c>
      <c r="AQ1673">
        <v>25.52</v>
      </c>
      <c r="AR1673">
        <v>0</v>
      </c>
      <c r="AS1673">
        <v>0</v>
      </c>
      <c r="AT1673">
        <v>0</v>
      </c>
      <c r="AU1673">
        <v>0</v>
      </c>
      <c r="AV1673">
        <v>0</v>
      </c>
      <c r="AW1673">
        <v>0</v>
      </c>
      <c r="AX1673">
        <v>0</v>
      </c>
      <c r="AY1673">
        <v>0</v>
      </c>
      <c r="AZ1673">
        <v>0</v>
      </c>
      <c r="BA1673">
        <v>0</v>
      </c>
      <c r="BB1673">
        <v>0</v>
      </c>
      <c r="BC1673">
        <v>0</v>
      </c>
      <c r="BD1673">
        <v>0</v>
      </c>
      <c r="BE1673">
        <v>0</v>
      </c>
      <c r="BF1673">
        <v>0</v>
      </c>
      <c r="BG1673">
        <v>0</v>
      </c>
      <c r="BH1673">
        <v>1</v>
      </c>
      <c r="BI1673">
        <v>2</v>
      </c>
      <c r="BJ1673">
        <v>1.4</v>
      </c>
      <c r="BK1673">
        <v>2</v>
      </c>
      <c r="BL1673">
        <v>76.06</v>
      </c>
      <c r="BM1673">
        <v>11.41</v>
      </c>
      <c r="BN1673">
        <v>87.47</v>
      </c>
      <c r="BO1673">
        <v>87.47</v>
      </c>
      <c r="BQ1673" t="s">
        <v>435</v>
      </c>
      <c r="BR1673" t="s">
        <v>82</v>
      </c>
      <c r="BS1673" t="s">
        <v>500</v>
      </c>
      <c r="BV1673" t="s">
        <v>87</v>
      </c>
      <c r="BY1673">
        <v>7000</v>
      </c>
      <c r="CC1673" t="s">
        <v>157</v>
      </c>
      <c r="CD1673">
        <v>7441</v>
      </c>
      <c r="CE1673" t="s">
        <v>86</v>
      </c>
      <c r="CI1673">
        <v>1</v>
      </c>
      <c r="CJ1673" t="s">
        <v>500</v>
      </c>
      <c r="CK1673">
        <v>21</v>
      </c>
      <c r="CL1673" t="s">
        <v>87</v>
      </c>
    </row>
    <row r="1674" spans="1:90" x14ac:dyDescent="0.3">
      <c r="A1674" t="s">
        <v>72</v>
      </c>
      <c r="B1674" t="s">
        <v>73</v>
      </c>
      <c r="C1674" t="s">
        <v>74</v>
      </c>
      <c r="E1674" t="str">
        <f>"080069854499"</f>
        <v>080069854499</v>
      </c>
      <c r="F1674" s="3">
        <v>46002</v>
      </c>
      <c r="G1674">
        <v>202609</v>
      </c>
      <c r="H1674" t="s">
        <v>75</v>
      </c>
      <c r="I1674" t="s">
        <v>76</v>
      </c>
      <c r="J1674" t="s">
        <v>77</v>
      </c>
      <c r="K1674" t="s">
        <v>78</v>
      </c>
      <c r="L1674" t="s">
        <v>75</v>
      </c>
      <c r="M1674" t="s">
        <v>76</v>
      </c>
      <c r="N1674" t="s">
        <v>88</v>
      </c>
      <c r="O1674" t="s">
        <v>89</v>
      </c>
      <c r="P1674" t="str">
        <f>"4170073208                    "</f>
        <v xml:space="preserve">4170073208                    </v>
      </c>
      <c r="Q1674">
        <v>0</v>
      </c>
      <c r="R1674">
        <v>0</v>
      </c>
      <c r="S1674">
        <v>0</v>
      </c>
      <c r="T1674">
        <v>0</v>
      </c>
      <c r="U1674">
        <v>0</v>
      </c>
      <c r="V1674">
        <v>0</v>
      </c>
      <c r="W1674">
        <v>0</v>
      </c>
      <c r="X1674">
        <v>0</v>
      </c>
      <c r="Y1674">
        <v>0</v>
      </c>
      <c r="Z1674">
        <v>0</v>
      </c>
      <c r="AA1674">
        <v>0</v>
      </c>
      <c r="AB1674">
        <v>0</v>
      </c>
      <c r="AC1674">
        <v>0</v>
      </c>
      <c r="AD1674">
        <v>0</v>
      </c>
      <c r="AE1674">
        <v>0</v>
      </c>
      <c r="AF1674">
        <v>0</v>
      </c>
      <c r="AG1674">
        <v>0</v>
      </c>
      <c r="AH1674">
        <v>0</v>
      </c>
      <c r="AI1674">
        <v>0</v>
      </c>
      <c r="AJ1674">
        <v>0</v>
      </c>
      <c r="AK1674">
        <v>0</v>
      </c>
      <c r="AL1674">
        <v>0</v>
      </c>
      <c r="AM1674">
        <v>0</v>
      </c>
      <c r="AN1674">
        <v>0</v>
      </c>
      <c r="AO1674">
        <v>0</v>
      </c>
      <c r="AP1674">
        <v>0</v>
      </c>
      <c r="AQ1674">
        <v>19.940000000000001</v>
      </c>
      <c r="AR1674">
        <v>0</v>
      </c>
      <c r="AS1674">
        <v>0</v>
      </c>
      <c r="AT1674">
        <v>0</v>
      </c>
      <c r="AU1674">
        <v>0</v>
      </c>
      <c r="AV1674">
        <v>0</v>
      </c>
      <c r="AW1674">
        <v>0</v>
      </c>
      <c r="AX1674">
        <v>0</v>
      </c>
      <c r="AY1674">
        <v>0</v>
      </c>
      <c r="AZ1674">
        <v>0</v>
      </c>
      <c r="BA1674">
        <v>0</v>
      </c>
      <c r="BB1674">
        <v>0</v>
      </c>
      <c r="BC1674">
        <v>0</v>
      </c>
      <c r="BD1674">
        <v>0</v>
      </c>
      <c r="BE1674">
        <v>0</v>
      </c>
      <c r="BF1674">
        <v>0</v>
      </c>
      <c r="BG1674">
        <v>0</v>
      </c>
      <c r="BH1674">
        <v>1</v>
      </c>
      <c r="BI1674">
        <v>1</v>
      </c>
      <c r="BJ1674">
        <v>0.2</v>
      </c>
      <c r="BK1674">
        <v>1</v>
      </c>
      <c r="BL1674">
        <v>59.42</v>
      </c>
      <c r="BM1674">
        <v>8.91</v>
      </c>
      <c r="BN1674">
        <v>68.33</v>
      </c>
      <c r="BO1674">
        <v>68.33</v>
      </c>
      <c r="BQ1674" t="s">
        <v>90</v>
      </c>
      <c r="BR1674" t="s">
        <v>82</v>
      </c>
      <c r="BS1674" s="3">
        <v>46003</v>
      </c>
      <c r="BT1674" s="4">
        <v>0.29930555555555555</v>
      </c>
      <c r="BU1674" t="s">
        <v>91</v>
      </c>
      <c r="BV1674" t="s">
        <v>84</v>
      </c>
      <c r="BY1674">
        <v>1200</v>
      </c>
      <c r="CA1674" t="s">
        <v>92</v>
      </c>
      <c r="CC1674" t="s">
        <v>76</v>
      </c>
      <c r="CD1674">
        <v>1600</v>
      </c>
      <c r="CE1674" t="s">
        <v>134</v>
      </c>
      <c r="CI1674">
        <v>1</v>
      </c>
      <c r="CJ1674">
        <v>1</v>
      </c>
      <c r="CK1674">
        <v>22</v>
      </c>
      <c r="CL1674" t="s">
        <v>87</v>
      </c>
    </row>
    <row r="1675" spans="1:90" x14ac:dyDescent="0.3">
      <c r="A1675" t="s">
        <v>72</v>
      </c>
      <c r="B1675" t="s">
        <v>73</v>
      </c>
      <c r="C1675" t="s">
        <v>74</v>
      </c>
      <c r="E1675" t="str">
        <f>"080069854510"</f>
        <v>080069854510</v>
      </c>
      <c r="F1675" s="3">
        <v>46002</v>
      </c>
      <c r="G1675">
        <v>202609</v>
      </c>
      <c r="H1675" t="s">
        <v>75</v>
      </c>
      <c r="I1675" t="s">
        <v>76</v>
      </c>
      <c r="J1675" t="s">
        <v>77</v>
      </c>
      <c r="K1675" t="s">
        <v>78</v>
      </c>
      <c r="L1675" t="s">
        <v>189</v>
      </c>
      <c r="M1675" t="s">
        <v>190</v>
      </c>
      <c r="N1675" t="s">
        <v>2230</v>
      </c>
      <c r="O1675" t="s">
        <v>89</v>
      </c>
      <c r="P1675" t="str">
        <f>"4170073139                    "</f>
        <v xml:space="preserve">4170073139                    </v>
      </c>
      <c r="Q1675">
        <v>0</v>
      </c>
      <c r="R1675">
        <v>0</v>
      </c>
      <c r="S1675">
        <v>0</v>
      </c>
      <c r="T1675">
        <v>0</v>
      </c>
      <c r="U1675">
        <v>0</v>
      </c>
      <c r="V1675">
        <v>0</v>
      </c>
      <c r="W1675">
        <v>0</v>
      </c>
      <c r="X1675">
        <v>0</v>
      </c>
      <c r="Y1675">
        <v>0</v>
      </c>
      <c r="Z1675">
        <v>0</v>
      </c>
      <c r="AA1675">
        <v>0</v>
      </c>
      <c r="AB1675">
        <v>0</v>
      </c>
      <c r="AC1675">
        <v>0</v>
      </c>
      <c r="AD1675">
        <v>0</v>
      </c>
      <c r="AE1675">
        <v>0</v>
      </c>
      <c r="AF1675">
        <v>0</v>
      </c>
      <c r="AG1675">
        <v>0</v>
      </c>
      <c r="AH1675">
        <v>0</v>
      </c>
      <c r="AI1675">
        <v>0</v>
      </c>
      <c r="AJ1675">
        <v>0</v>
      </c>
      <c r="AK1675">
        <v>0</v>
      </c>
      <c r="AL1675">
        <v>0</v>
      </c>
      <c r="AM1675">
        <v>0</v>
      </c>
      <c r="AN1675">
        <v>0</v>
      </c>
      <c r="AO1675">
        <v>0</v>
      </c>
      <c r="AP1675">
        <v>0</v>
      </c>
      <c r="AQ1675">
        <v>51.04</v>
      </c>
      <c r="AR1675">
        <v>0</v>
      </c>
      <c r="AS1675">
        <v>0</v>
      </c>
      <c r="AT1675">
        <v>0</v>
      </c>
      <c r="AU1675">
        <v>0</v>
      </c>
      <c r="AV1675">
        <v>0</v>
      </c>
      <c r="AW1675">
        <v>0</v>
      </c>
      <c r="AX1675">
        <v>0</v>
      </c>
      <c r="AY1675">
        <v>0</v>
      </c>
      <c r="AZ1675">
        <v>0</v>
      </c>
      <c r="BA1675">
        <v>0</v>
      </c>
      <c r="BB1675">
        <v>0</v>
      </c>
      <c r="BC1675">
        <v>0</v>
      </c>
      <c r="BD1675">
        <v>0</v>
      </c>
      <c r="BE1675">
        <v>0</v>
      </c>
      <c r="BF1675">
        <v>0</v>
      </c>
      <c r="BG1675">
        <v>0</v>
      </c>
      <c r="BH1675">
        <v>1</v>
      </c>
      <c r="BI1675">
        <v>4</v>
      </c>
      <c r="BJ1675">
        <v>1.9</v>
      </c>
      <c r="BK1675">
        <v>4</v>
      </c>
      <c r="BL1675">
        <v>152.1</v>
      </c>
      <c r="BM1675">
        <v>22.82</v>
      </c>
      <c r="BN1675">
        <v>174.92</v>
      </c>
      <c r="BO1675">
        <v>174.92</v>
      </c>
      <c r="BQ1675" t="s">
        <v>2231</v>
      </c>
      <c r="BR1675" t="s">
        <v>82</v>
      </c>
      <c r="BS1675" t="s">
        <v>500</v>
      </c>
      <c r="BV1675" t="s">
        <v>87</v>
      </c>
      <c r="BY1675">
        <v>9600</v>
      </c>
      <c r="CC1675" t="s">
        <v>190</v>
      </c>
      <c r="CD1675">
        <v>3212</v>
      </c>
      <c r="CE1675" t="s">
        <v>86</v>
      </c>
      <c r="CI1675">
        <v>2</v>
      </c>
      <c r="CJ1675" t="s">
        <v>500</v>
      </c>
      <c r="CK1675">
        <v>21</v>
      </c>
      <c r="CL1675" t="s">
        <v>87</v>
      </c>
    </row>
    <row r="1676" spans="1:90" x14ac:dyDescent="0.3">
      <c r="A1676" t="s">
        <v>72</v>
      </c>
      <c r="B1676" t="s">
        <v>73</v>
      </c>
      <c r="C1676" t="s">
        <v>74</v>
      </c>
      <c r="E1676" t="str">
        <f>"080069854528"</f>
        <v>080069854528</v>
      </c>
      <c r="F1676" s="3">
        <v>46002</v>
      </c>
      <c r="G1676">
        <v>202609</v>
      </c>
      <c r="H1676" t="s">
        <v>75</v>
      </c>
      <c r="I1676" t="s">
        <v>76</v>
      </c>
      <c r="J1676" t="s">
        <v>77</v>
      </c>
      <c r="K1676" t="s">
        <v>78</v>
      </c>
      <c r="L1676" t="s">
        <v>612</v>
      </c>
      <c r="M1676" t="s">
        <v>613</v>
      </c>
      <c r="N1676" t="s">
        <v>614</v>
      </c>
      <c r="O1676" t="s">
        <v>89</v>
      </c>
      <c r="P1676" t="str">
        <f>"4170073214                    "</f>
        <v xml:space="preserve">4170073214                    </v>
      </c>
      <c r="Q1676">
        <v>0</v>
      </c>
      <c r="R1676">
        <v>0</v>
      </c>
      <c r="S1676">
        <v>0</v>
      </c>
      <c r="T1676">
        <v>0</v>
      </c>
      <c r="U1676">
        <v>0</v>
      </c>
      <c r="V1676">
        <v>0</v>
      </c>
      <c r="W1676">
        <v>0</v>
      </c>
      <c r="X1676">
        <v>0</v>
      </c>
      <c r="Y1676">
        <v>0</v>
      </c>
      <c r="Z1676">
        <v>0</v>
      </c>
      <c r="AA1676">
        <v>0</v>
      </c>
      <c r="AB1676">
        <v>0</v>
      </c>
      <c r="AC1676">
        <v>0</v>
      </c>
      <c r="AD1676">
        <v>0</v>
      </c>
      <c r="AE1676">
        <v>0</v>
      </c>
      <c r="AF1676">
        <v>0</v>
      </c>
      <c r="AG1676">
        <v>0</v>
      </c>
      <c r="AH1676">
        <v>0</v>
      </c>
      <c r="AI1676">
        <v>0</v>
      </c>
      <c r="AJ1676">
        <v>0</v>
      </c>
      <c r="AK1676">
        <v>0</v>
      </c>
      <c r="AL1676">
        <v>0</v>
      </c>
      <c r="AM1676">
        <v>0</v>
      </c>
      <c r="AN1676">
        <v>0</v>
      </c>
      <c r="AO1676">
        <v>0</v>
      </c>
      <c r="AP1676">
        <v>0</v>
      </c>
      <c r="AQ1676">
        <v>49.45</v>
      </c>
      <c r="AR1676">
        <v>0</v>
      </c>
      <c r="AS1676">
        <v>0</v>
      </c>
      <c r="AT1676">
        <v>0</v>
      </c>
      <c r="AU1676">
        <v>0</v>
      </c>
      <c r="AV1676">
        <v>0</v>
      </c>
      <c r="AW1676">
        <v>0</v>
      </c>
      <c r="AX1676">
        <v>0</v>
      </c>
      <c r="AY1676">
        <v>0</v>
      </c>
      <c r="AZ1676">
        <v>0</v>
      </c>
      <c r="BA1676">
        <v>0</v>
      </c>
      <c r="BB1676">
        <v>0</v>
      </c>
      <c r="BC1676">
        <v>0</v>
      </c>
      <c r="BD1676">
        <v>0</v>
      </c>
      <c r="BE1676">
        <v>0</v>
      </c>
      <c r="BF1676">
        <v>0</v>
      </c>
      <c r="BG1676">
        <v>0</v>
      </c>
      <c r="BH1676">
        <v>1</v>
      </c>
      <c r="BI1676">
        <v>1</v>
      </c>
      <c r="BJ1676">
        <v>0.2</v>
      </c>
      <c r="BK1676">
        <v>1</v>
      </c>
      <c r="BL1676">
        <v>147.38</v>
      </c>
      <c r="BM1676">
        <v>22.11</v>
      </c>
      <c r="BN1676">
        <v>169.49</v>
      </c>
      <c r="BO1676">
        <v>169.49</v>
      </c>
      <c r="BQ1676" t="s">
        <v>615</v>
      </c>
      <c r="BR1676" t="s">
        <v>82</v>
      </c>
      <c r="BS1676" t="s">
        <v>500</v>
      </c>
      <c r="BV1676" t="s">
        <v>87</v>
      </c>
      <c r="BY1676">
        <v>1200</v>
      </c>
      <c r="CC1676" t="s">
        <v>613</v>
      </c>
      <c r="CD1676">
        <v>6850</v>
      </c>
      <c r="CE1676" t="s">
        <v>134</v>
      </c>
      <c r="CI1676">
        <v>2</v>
      </c>
      <c r="CJ1676" t="s">
        <v>500</v>
      </c>
      <c r="CK1676">
        <v>23</v>
      </c>
      <c r="CL1676" t="s">
        <v>87</v>
      </c>
    </row>
    <row r="1677" spans="1:90" x14ac:dyDescent="0.3">
      <c r="A1677" t="s">
        <v>72</v>
      </c>
      <c r="B1677" t="s">
        <v>73</v>
      </c>
      <c r="C1677" t="s">
        <v>74</v>
      </c>
      <c r="E1677" t="str">
        <f>"080069854546"</f>
        <v>080069854546</v>
      </c>
      <c r="F1677" s="3">
        <v>46002</v>
      </c>
      <c r="G1677">
        <v>202609</v>
      </c>
      <c r="H1677" t="s">
        <v>75</v>
      </c>
      <c r="I1677" t="s">
        <v>76</v>
      </c>
      <c r="J1677" t="s">
        <v>77</v>
      </c>
      <c r="K1677" t="s">
        <v>78</v>
      </c>
      <c r="L1677" t="s">
        <v>399</v>
      </c>
      <c r="M1677" t="s">
        <v>400</v>
      </c>
      <c r="N1677" t="s">
        <v>2232</v>
      </c>
      <c r="O1677" t="s">
        <v>340</v>
      </c>
      <c r="P1677" t="str">
        <f>"4170073216                    "</f>
        <v xml:space="preserve">4170073216                    </v>
      </c>
      <c r="Q1677">
        <v>0</v>
      </c>
      <c r="R1677">
        <v>0</v>
      </c>
      <c r="S1677">
        <v>0</v>
      </c>
      <c r="T1677">
        <v>0</v>
      </c>
      <c r="U1677">
        <v>0</v>
      </c>
      <c r="V1677">
        <v>0</v>
      </c>
      <c r="W1677">
        <v>0</v>
      </c>
      <c r="X1677">
        <v>0</v>
      </c>
      <c r="Y1677">
        <v>0</v>
      </c>
      <c r="Z1677">
        <v>0</v>
      </c>
      <c r="AA1677">
        <v>0</v>
      </c>
      <c r="AB1677">
        <v>0</v>
      </c>
      <c r="AC1677">
        <v>0</v>
      </c>
      <c r="AD1677">
        <v>0</v>
      </c>
      <c r="AE1677">
        <v>0</v>
      </c>
      <c r="AF1677">
        <v>0</v>
      </c>
      <c r="AG1677">
        <v>0</v>
      </c>
      <c r="AH1677">
        <v>0</v>
      </c>
      <c r="AI1677">
        <v>0</v>
      </c>
      <c r="AJ1677">
        <v>0</v>
      </c>
      <c r="AK1677">
        <v>0</v>
      </c>
      <c r="AL1677">
        <v>0</v>
      </c>
      <c r="AM1677">
        <v>0</v>
      </c>
      <c r="AN1677">
        <v>0</v>
      </c>
      <c r="AO1677">
        <v>0</v>
      </c>
      <c r="AP1677">
        <v>0</v>
      </c>
      <c r="AQ1677">
        <v>19.940000000000001</v>
      </c>
      <c r="AR1677">
        <v>0</v>
      </c>
      <c r="AS1677">
        <v>0</v>
      </c>
      <c r="AT1677">
        <v>0</v>
      </c>
      <c r="AU1677">
        <v>0</v>
      </c>
      <c r="AV1677">
        <v>0</v>
      </c>
      <c r="AW1677">
        <v>0</v>
      </c>
      <c r="AX1677">
        <v>0</v>
      </c>
      <c r="AY1677">
        <v>0</v>
      </c>
      <c r="AZ1677">
        <v>0</v>
      </c>
      <c r="BA1677">
        <v>0</v>
      </c>
      <c r="BB1677">
        <v>0</v>
      </c>
      <c r="BC1677">
        <v>0</v>
      </c>
      <c r="BD1677">
        <v>0</v>
      </c>
      <c r="BE1677">
        <v>0</v>
      </c>
      <c r="BF1677">
        <v>0</v>
      </c>
      <c r="BG1677">
        <v>0</v>
      </c>
      <c r="BH1677">
        <v>1</v>
      </c>
      <c r="BI1677">
        <v>3</v>
      </c>
      <c r="BJ1677">
        <v>3.7</v>
      </c>
      <c r="BK1677">
        <v>4</v>
      </c>
      <c r="BL1677">
        <v>59.43</v>
      </c>
      <c r="BM1677">
        <v>8.91</v>
      </c>
      <c r="BN1677">
        <v>68.34</v>
      </c>
      <c r="BO1677">
        <v>68.34</v>
      </c>
      <c r="BQ1677" t="s">
        <v>2233</v>
      </c>
      <c r="BR1677" t="s">
        <v>82</v>
      </c>
      <c r="BS1677" t="s">
        <v>500</v>
      </c>
      <c r="BV1677" t="s">
        <v>87</v>
      </c>
      <c r="BY1677">
        <v>18400</v>
      </c>
      <c r="CC1677" t="s">
        <v>400</v>
      </c>
      <c r="CD1677">
        <v>1724</v>
      </c>
      <c r="CE1677" t="s">
        <v>93</v>
      </c>
      <c r="CI1677">
        <v>1</v>
      </c>
      <c r="CJ1677" t="s">
        <v>500</v>
      </c>
      <c r="CK1677">
        <v>32</v>
      </c>
      <c r="CL1677" t="s">
        <v>87</v>
      </c>
    </row>
    <row r="1678" spans="1:90" x14ac:dyDescent="0.3">
      <c r="A1678" t="s">
        <v>72</v>
      </c>
      <c r="B1678" t="s">
        <v>73</v>
      </c>
      <c r="C1678" t="s">
        <v>74</v>
      </c>
      <c r="E1678" t="str">
        <f>"080069854549"</f>
        <v>080069854549</v>
      </c>
      <c r="F1678" s="3">
        <v>46002</v>
      </c>
      <c r="G1678">
        <v>202609</v>
      </c>
      <c r="H1678" t="s">
        <v>75</v>
      </c>
      <c r="I1678" t="s">
        <v>76</v>
      </c>
      <c r="J1678" t="s">
        <v>77</v>
      </c>
      <c r="K1678" t="s">
        <v>78</v>
      </c>
      <c r="L1678" t="s">
        <v>612</v>
      </c>
      <c r="M1678" t="s">
        <v>613</v>
      </c>
      <c r="N1678" t="s">
        <v>614</v>
      </c>
      <c r="O1678" t="s">
        <v>89</v>
      </c>
      <c r="P1678" t="str">
        <f>"4170073211                    "</f>
        <v xml:space="preserve">4170073211                    </v>
      </c>
      <c r="Q1678">
        <v>0</v>
      </c>
      <c r="R1678">
        <v>0</v>
      </c>
      <c r="S1678">
        <v>0</v>
      </c>
      <c r="T1678">
        <v>0</v>
      </c>
      <c r="U1678">
        <v>0</v>
      </c>
      <c r="V1678">
        <v>0</v>
      </c>
      <c r="W1678">
        <v>0</v>
      </c>
      <c r="X1678">
        <v>0</v>
      </c>
      <c r="Y1678">
        <v>0</v>
      </c>
      <c r="Z1678">
        <v>0</v>
      </c>
      <c r="AA1678">
        <v>0</v>
      </c>
      <c r="AB1678">
        <v>0</v>
      </c>
      <c r="AC1678">
        <v>0</v>
      </c>
      <c r="AD1678">
        <v>0</v>
      </c>
      <c r="AE1678">
        <v>0</v>
      </c>
      <c r="AF1678">
        <v>0</v>
      </c>
      <c r="AG1678">
        <v>0</v>
      </c>
      <c r="AH1678">
        <v>0</v>
      </c>
      <c r="AI1678">
        <v>0</v>
      </c>
      <c r="AJ1678">
        <v>0</v>
      </c>
      <c r="AK1678">
        <v>0</v>
      </c>
      <c r="AL1678">
        <v>0</v>
      </c>
      <c r="AM1678">
        <v>0</v>
      </c>
      <c r="AN1678">
        <v>0</v>
      </c>
      <c r="AO1678">
        <v>0</v>
      </c>
      <c r="AP1678">
        <v>0</v>
      </c>
      <c r="AQ1678">
        <v>49.45</v>
      </c>
      <c r="AR1678">
        <v>0</v>
      </c>
      <c r="AS1678">
        <v>0</v>
      </c>
      <c r="AT1678">
        <v>0</v>
      </c>
      <c r="AU1678">
        <v>0</v>
      </c>
      <c r="AV1678">
        <v>0</v>
      </c>
      <c r="AW1678">
        <v>0</v>
      </c>
      <c r="AX1678">
        <v>0</v>
      </c>
      <c r="AY1678">
        <v>0</v>
      </c>
      <c r="AZ1678">
        <v>0</v>
      </c>
      <c r="BA1678">
        <v>0</v>
      </c>
      <c r="BB1678">
        <v>0</v>
      </c>
      <c r="BC1678">
        <v>0</v>
      </c>
      <c r="BD1678">
        <v>0</v>
      </c>
      <c r="BE1678">
        <v>0</v>
      </c>
      <c r="BF1678">
        <v>0</v>
      </c>
      <c r="BG1678">
        <v>0</v>
      </c>
      <c r="BH1678">
        <v>1</v>
      </c>
      <c r="BI1678">
        <v>1</v>
      </c>
      <c r="BJ1678">
        <v>0.2</v>
      </c>
      <c r="BK1678">
        <v>1</v>
      </c>
      <c r="BL1678">
        <v>147.38</v>
      </c>
      <c r="BM1678">
        <v>22.11</v>
      </c>
      <c r="BN1678">
        <v>169.49</v>
      </c>
      <c r="BO1678">
        <v>169.49</v>
      </c>
      <c r="BQ1678" t="s">
        <v>615</v>
      </c>
      <c r="BR1678" t="s">
        <v>82</v>
      </c>
      <c r="BS1678" t="s">
        <v>500</v>
      </c>
      <c r="BV1678" t="s">
        <v>87</v>
      </c>
      <c r="BY1678">
        <v>1200</v>
      </c>
      <c r="CC1678" t="s">
        <v>613</v>
      </c>
      <c r="CD1678">
        <v>6850</v>
      </c>
      <c r="CE1678" t="s">
        <v>134</v>
      </c>
      <c r="CI1678">
        <v>2</v>
      </c>
      <c r="CJ1678" t="s">
        <v>500</v>
      </c>
      <c r="CK1678">
        <v>23</v>
      </c>
      <c r="CL1678" t="s">
        <v>87</v>
      </c>
    </row>
    <row r="1679" spans="1:90" x14ac:dyDescent="0.3">
      <c r="A1679" t="s">
        <v>72</v>
      </c>
      <c r="B1679" t="s">
        <v>73</v>
      </c>
      <c r="C1679" t="s">
        <v>74</v>
      </c>
      <c r="E1679" t="str">
        <f>"080069854568"</f>
        <v>080069854568</v>
      </c>
      <c r="F1679" s="3">
        <v>46002</v>
      </c>
      <c r="G1679">
        <v>202609</v>
      </c>
      <c r="H1679" t="s">
        <v>75</v>
      </c>
      <c r="I1679" t="s">
        <v>76</v>
      </c>
      <c r="J1679" t="s">
        <v>77</v>
      </c>
      <c r="K1679" t="s">
        <v>78</v>
      </c>
      <c r="L1679" t="s">
        <v>100</v>
      </c>
      <c r="M1679" t="s">
        <v>101</v>
      </c>
      <c r="N1679" t="s">
        <v>1323</v>
      </c>
      <c r="O1679" t="s">
        <v>89</v>
      </c>
      <c r="P1679" t="str">
        <f>"4170073210                    "</f>
        <v xml:space="preserve">4170073210                    </v>
      </c>
      <c r="Q1679">
        <v>0</v>
      </c>
      <c r="R1679">
        <v>0</v>
      </c>
      <c r="S1679">
        <v>0</v>
      </c>
      <c r="T1679">
        <v>0</v>
      </c>
      <c r="U1679">
        <v>0</v>
      </c>
      <c r="V1679">
        <v>0</v>
      </c>
      <c r="W1679">
        <v>0</v>
      </c>
      <c r="X1679">
        <v>0</v>
      </c>
      <c r="Y1679">
        <v>0</v>
      </c>
      <c r="Z1679">
        <v>0</v>
      </c>
      <c r="AA1679">
        <v>0</v>
      </c>
      <c r="AB1679">
        <v>0</v>
      </c>
      <c r="AC1679">
        <v>0</v>
      </c>
      <c r="AD1679">
        <v>0</v>
      </c>
      <c r="AE1679">
        <v>0</v>
      </c>
      <c r="AF1679">
        <v>0</v>
      </c>
      <c r="AG1679">
        <v>0</v>
      </c>
      <c r="AH1679">
        <v>0</v>
      </c>
      <c r="AI1679">
        <v>0</v>
      </c>
      <c r="AJ1679">
        <v>0</v>
      </c>
      <c r="AK1679">
        <v>0</v>
      </c>
      <c r="AL1679">
        <v>0</v>
      </c>
      <c r="AM1679">
        <v>0</v>
      </c>
      <c r="AN1679">
        <v>0</v>
      </c>
      <c r="AO1679">
        <v>0</v>
      </c>
      <c r="AP1679">
        <v>0</v>
      </c>
      <c r="AQ1679">
        <v>25.52</v>
      </c>
      <c r="AR1679">
        <v>0</v>
      </c>
      <c r="AS1679">
        <v>0</v>
      </c>
      <c r="AT1679">
        <v>0</v>
      </c>
      <c r="AU1679">
        <v>0</v>
      </c>
      <c r="AV1679">
        <v>0</v>
      </c>
      <c r="AW1679">
        <v>0</v>
      </c>
      <c r="AX1679">
        <v>0</v>
      </c>
      <c r="AY1679">
        <v>0</v>
      </c>
      <c r="AZ1679">
        <v>0</v>
      </c>
      <c r="BA1679">
        <v>0</v>
      </c>
      <c r="BB1679">
        <v>0</v>
      </c>
      <c r="BC1679">
        <v>0</v>
      </c>
      <c r="BD1679">
        <v>0</v>
      </c>
      <c r="BE1679">
        <v>0</v>
      </c>
      <c r="BF1679">
        <v>0</v>
      </c>
      <c r="BG1679">
        <v>0</v>
      </c>
      <c r="BH1679">
        <v>1</v>
      </c>
      <c r="BI1679">
        <v>1</v>
      </c>
      <c r="BJ1679">
        <v>0.2</v>
      </c>
      <c r="BK1679">
        <v>1</v>
      </c>
      <c r="BL1679">
        <v>76.06</v>
      </c>
      <c r="BM1679">
        <v>11.41</v>
      </c>
      <c r="BN1679">
        <v>87.47</v>
      </c>
      <c r="BO1679">
        <v>87.47</v>
      </c>
      <c r="BQ1679" t="s">
        <v>1324</v>
      </c>
      <c r="BR1679" t="s">
        <v>82</v>
      </c>
      <c r="BS1679" t="s">
        <v>500</v>
      </c>
      <c r="BV1679" t="s">
        <v>87</v>
      </c>
      <c r="BY1679">
        <v>1200</v>
      </c>
      <c r="CC1679" t="s">
        <v>101</v>
      </c>
      <c r="CD1679">
        <v>4000</v>
      </c>
      <c r="CE1679" t="s">
        <v>134</v>
      </c>
      <c r="CI1679">
        <v>1</v>
      </c>
      <c r="CJ1679" t="s">
        <v>500</v>
      </c>
      <c r="CK1679">
        <v>21</v>
      </c>
      <c r="CL1679" t="s">
        <v>87</v>
      </c>
    </row>
    <row r="1680" spans="1:90" x14ac:dyDescent="0.3">
      <c r="A1680" t="s">
        <v>72</v>
      </c>
      <c r="B1680" t="s">
        <v>73</v>
      </c>
      <c r="C1680" t="s">
        <v>74</v>
      </c>
      <c r="E1680" t="str">
        <f>"080069854573"</f>
        <v>080069854573</v>
      </c>
      <c r="F1680" s="3">
        <v>46002</v>
      </c>
      <c r="G1680">
        <v>202609</v>
      </c>
      <c r="H1680" t="s">
        <v>75</v>
      </c>
      <c r="I1680" t="s">
        <v>76</v>
      </c>
      <c r="J1680" t="s">
        <v>77</v>
      </c>
      <c r="K1680" t="s">
        <v>78</v>
      </c>
      <c r="L1680" t="s">
        <v>156</v>
      </c>
      <c r="M1680" t="s">
        <v>157</v>
      </c>
      <c r="N1680" t="s">
        <v>880</v>
      </c>
      <c r="O1680" t="s">
        <v>89</v>
      </c>
      <c r="P1680" t="str">
        <f>"4170073061                    "</f>
        <v xml:space="preserve">4170073061                    </v>
      </c>
      <c r="Q1680">
        <v>0</v>
      </c>
      <c r="R1680">
        <v>0</v>
      </c>
      <c r="S1680">
        <v>0</v>
      </c>
      <c r="T1680">
        <v>0</v>
      </c>
      <c r="U1680">
        <v>0</v>
      </c>
      <c r="V1680">
        <v>0</v>
      </c>
      <c r="W1680">
        <v>0</v>
      </c>
      <c r="X1680">
        <v>0</v>
      </c>
      <c r="Y1680">
        <v>0</v>
      </c>
      <c r="Z1680">
        <v>0</v>
      </c>
      <c r="AA1680">
        <v>0</v>
      </c>
      <c r="AB1680">
        <v>0</v>
      </c>
      <c r="AC1680">
        <v>0</v>
      </c>
      <c r="AD1680">
        <v>0</v>
      </c>
      <c r="AE1680">
        <v>0</v>
      </c>
      <c r="AF1680">
        <v>0</v>
      </c>
      <c r="AG1680">
        <v>0</v>
      </c>
      <c r="AH1680">
        <v>0</v>
      </c>
      <c r="AI1680">
        <v>0</v>
      </c>
      <c r="AJ1680">
        <v>0</v>
      </c>
      <c r="AK1680">
        <v>0</v>
      </c>
      <c r="AL1680">
        <v>0</v>
      </c>
      <c r="AM1680">
        <v>0</v>
      </c>
      <c r="AN1680">
        <v>0</v>
      </c>
      <c r="AO1680">
        <v>0</v>
      </c>
      <c r="AP1680">
        <v>0</v>
      </c>
      <c r="AQ1680">
        <v>63.79</v>
      </c>
      <c r="AR1680">
        <v>0</v>
      </c>
      <c r="AS1680">
        <v>0</v>
      </c>
      <c r="AT1680">
        <v>0</v>
      </c>
      <c r="AU1680">
        <v>0</v>
      </c>
      <c r="AV1680">
        <v>0</v>
      </c>
      <c r="AW1680">
        <v>0</v>
      </c>
      <c r="AX1680">
        <v>0</v>
      </c>
      <c r="AY1680">
        <v>0</v>
      </c>
      <c r="AZ1680">
        <v>0</v>
      </c>
      <c r="BA1680">
        <v>0</v>
      </c>
      <c r="BB1680">
        <v>0</v>
      </c>
      <c r="BC1680">
        <v>0</v>
      </c>
      <c r="BD1680">
        <v>0</v>
      </c>
      <c r="BE1680">
        <v>0</v>
      </c>
      <c r="BF1680">
        <v>0</v>
      </c>
      <c r="BG1680">
        <v>0</v>
      </c>
      <c r="BH1680">
        <v>1</v>
      </c>
      <c r="BI1680">
        <v>2</v>
      </c>
      <c r="BJ1680">
        <v>4.7</v>
      </c>
      <c r="BK1680">
        <v>5</v>
      </c>
      <c r="BL1680">
        <v>190.11</v>
      </c>
      <c r="BM1680">
        <v>28.52</v>
      </c>
      <c r="BN1680">
        <v>218.63</v>
      </c>
      <c r="BO1680">
        <v>218.63</v>
      </c>
      <c r="BQ1680" t="s">
        <v>881</v>
      </c>
      <c r="BR1680" t="s">
        <v>82</v>
      </c>
      <c r="BS1680" t="s">
        <v>500</v>
      </c>
      <c r="BV1680" t="s">
        <v>87</v>
      </c>
      <c r="BY1680">
        <v>23408</v>
      </c>
      <c r="CC1680" t="s">
        <v>157</v>
      </c>
      <c r="CD1680">
        <v>7550</v>
      </c>
      <c r="CE1680" t="s">
        <v>93</v>
      </c>
      <c r="CI1680">
        <v>1</v>
      </c>
      <c r="CJ1680" t="s">
        <v>500</v>
      </c>
      <c r="CK1680">
        <v>21</v>
      </c>
      <c r="CL1680" t="s">
        <v>87</v>
      </c>
    </row>
    <row r="1681" spans="1:90" x14ac:dyDescent="0.3">
      <c r="A1681" t="s">
        <v>72</v>
      </c>
      <c r="B1681" t="s">
        <v>73</v>
      </c>
      <c r="C1681" t="s">
        <v>74</v>
      </c>
      <c r="E1681" t="str">
        <f>"080069854590"</f>
        <v>080069854590</v>
      </c>
      <c r="F1681" s="3">
        <v>46002</v>
      </c>
      <c r="G1681">
        <v>202609</v>
      </c>
      <c r="H1681" t="s">
        <v>75</v>
      </c>
      <c r="I1681" t="s">
        <v>76</v>
      </c>
      <c r="J1681" t="s">
        <v>77</v>
      </c>
      <c r="K1681" t="s">
        <v>78</v>
      </c>
      <c r="L1681" t="s">
        <v>141</v>
      </c>
      <c r="M1681" t="s">
        <v>142</v>
      </c>
      <c r="N1681" t="s">
        <v>143</v>
      </c>
      <c r="O1681" t="s">
        <v>89</v>
      </c>
      <c r="P1681" t="str">
        <f>"4170073174                    "</f>
        <v xml:space="preserve">4170073174                    </v>
      </c>
      <c r="Q1681">
        <v>0</v>
      </c>
      <c r="R1681">
        <v>0</v>
      </c>
      <c r="S1681">
        <v>0</v>
      </c>
      <c r="T1681">
        <v>0</v>
      </c>
      <c r="U1681">
        <v>0</v>
      </c>
      <c r="V1681">
        <v>0</v>
      </c>
      <c r="W1681">
        <v>0</v>
      </c>
      <c r="X1681">
        <v>0</v>
      </c>
      <c r="Y1681">
        <v>0</v>
      </c>
      <c r="Z1681">
        <v>0</v>
      </c>
      <c r="AA1681">
        <v>0</v>
      </c>
      <c r="AB1681">
        <v>0</v>
      </c>
      <c r="AC1681">
        <v>0</v>
      </c>
      <c r="AD1681">
        <v>0</v>
      </c>
      <c r="AE1681">
        <v>0</v>
      </c>
      <c r="AF1681">
        <v>0</v>
      </c>
      <c r="AG1681">
        <v>0</v>
      </c>
      <c r="AH1681">
        <v>0</v>
      </c>
      <c r="AI1681">
        <v>0</v>
      </c>
      <c r="AJ1681">
        <v>0</v>
      </c>
      <c r="AK1681">
        <v>0</v>
      </c>
      <c r="AL1681">
        <v>0</v>
      </c>
      <c r="AM1681">
        <v>0</v>
      </c>
      <c r="AN1681">
        <v>0</v>
      </c>
      <c r="AO1681">
        <v>0</v>
      </c>
      <c r="AP1681">
        <v>0</v>
      </c>
      <c r="AQ1681">
        <v>25.52</v>
      </c>
      <c r="AR1681">
        <v>0</v>
      </c>
      <c r="AS1681">
        <v>0</v>
      </c>
      <c r="AT1681">
        <v>0</v>
      </c>
      <c r="AU1681">
        <v>0</v>
      </c>
      <c r="AV1681">
        <v>0</v>
      </c>
      <c r="AW1681">
        <v>0</v>
      </c>
      <c r="AX1681">
        <v>0</v>
      </c>
      <c r="AY1681">
        <v>0</v>
      </c>
      <c r="AZ1681">
        <v>0</v>
      </c>
      <c r="BA1681">
        <v>0</v>
      </c>
      <c r="BB1681">
        <v>0</v>
      </c>
      <c r="BC1681">
        <v>0</v>
      </c>
      <c r="BD1681">
        <v>0</v>
      </c>
      <c r="BE1681">
        <v>0</v>
      </c>
      <c r="BF1681">
        <v>0</v>
      </c>
      <c r="BG1681">
        <v>0</v>
      </c>
      <c r="BH1681">
        <v>1</v>
      </c>
      <c r="BI1681">
        <v>1</v>
      </c>
      <c r="BJ1681">
        <v>0.2</v>
      </c>
      <c r="BK1681">
        <v>1</v>
      </c>
      <c r="BL1681">
        <v>76.06</v>
      </c>
      <c r="BM1681">
        <v>11.41</v>
      </c>
      <c r="BN1681">
        <v>87.47</v>
      </c>
      <c r="BO1681">
        <v>87.47</v>
      </c>
      <c r="BQ1681" t="s">
        <v>144</v>
      </c>
      <c r="BR1681" t="s">
        <v>82</v>
      </c>
      <c r="BS1681" t="s">
        <v>500</v>
      </c>
      <c r="BV1681" t="s">
        <v>87</v>
      </c>
      <c r="BY1681">
        <v>1200</v>
      </c>
      <c r="CC1681" t="s">
        <v>142</v>
      </c>
      <c r="CD1681">
        <v>6001</v>
      </c>
      <c r="CE1681" t="s">
        <v>134</v>
      </c>
      <c r="CI1681">
        <v>1</v>
      </c>
      <c r="CJ1681" t="s">
        <v>500</v>
      </c>
      <c r="CK1681">
        <v>21</v>
      </c>
      <c r="CL1681" t="s">
        <v>87</v>
      </c>
    </row>
    <row r="1682" spans="1:90" x14ac:dyDescent="0.3">
      <c r="A1682" t="s">
        <v>72</v>
      </c>
      <c r="B1682" t="s">
        <v>73</v>
      </c>
      <c r="C1682" t="s">
        <v>74</v>
      </c>
      <c r="E1682" t="str">
        <f>"080069854602"</f>
        <v>080069854602</v>
      </c>
      <c r="F1682" s="3">
        <v>46002</v>
      </c>
      <c r="G1682">
        <v>202609</v>
      </c>
      <c r="H1682" t="s">
        <v>75</v>
      </c>
      <c r="I1682" t="s">
        <v>76</v>
      </c>
      <c r="J1682" t="s">
        <v>77</v>
      </c>
      <c r="K1682" t="s">
        <v>78</v>
      </c>
      <c r="L1682" t="s">
        <v>272</v>
      </c>
      <c r="M1682" t="s">
        <v>273</v>
      </c>
      <c r="N1682" t="s">
        <v>274</v>
      </c>
      <c r="O1682" t="s">
        <v>89</v>
      </c>
      <c r="P1682" t="str">
        <f>"4170073226                    "</f>
        <v xml:space="preserve">4170073226                    </v>
      </c>
      <c r="Q1682">
        <v>0</v>
      </c>
      <c r="R1682">
        <v>0</v>
      </c>
      <c r="S1682">
        <v>0</v>
      </c>
      <c r="T1682">
        <v>0</v>
      </c>
      <c r="U1682">
        <v>0</v>
      </c>
      <c r="V1682">
        <v>0</v>
      </c>
      <c r="W1682">
        <v>0</v>
      </c>
      <c r="X1682">
        <v>0</v>
      </c>
      <c r="Y1682">
        <v>0</v>
      </c>
      <c r="Z1682">
        <v>0</v>
      </c>
      <c r="AA1682">
        <v>0</v>
      </c>
      <c r="AB1682">
        <v>0</v>
      </c>
      <c r="AC1682">
        <v>0</v>
      </c>
      <c r="AD1682">
        <v>0</v>
      </c>
      <c r="AE1682">
        <v>0</v>
      </c>
      <c r="AF1682">
        <v>0</v>
      </c>
      <c r="AG1682">
        <v>0</v>
      </c>
      <c r="AH1682">
        <v>0</v>
      </c>
      <c r="AI1682">
        <v>0</v>
      </c>
      <c r="AJ1682">
        <v>0</v>
      </c>
      <c r="AK1682">
        <v>0</v>
      </c>
      <c r="AL1682">
        <v>0</v>
      </c>
      <c r="AM1682">
        <v>0</v>
      </c>
      <c r="AN1682">
        <v>0</v>
      </c>
      <c r="AO1682">
        <v>0</v>
      </c>
      <c r="AP1682">
        <v>0</v>
      </c>
      <c r="AQ1682">
        <v>38.28</v>
      </c>
      <c r="AR1682">
        <v>0</v>
      </c>
      <c r="AS1682">
        <v>0</v>
      </c>
      <c r="AT1682">
        <v>0</v>
      </c>
      <c r="AU1682">
        <v>0</v>
      </c>
      <c r="AV1682">
        <v>0</v>
      </c>
      <c r="AW1682">
        <v>0</v>
      </c>
      <c r="AX1682">
        <v>0</v>
      </c>
      <c r="AY1682">
        <v>0</v>
      </c>
      <c r="AZ1682">
        <v>0</v>
      </c>
      <c r="BA1682">
        <v>0</v>
      </c>
      <c r="BB1682">
        <v>0</v>
      </c>
      <c r="BC1682">
        <v>0</v>
      </c>
      <c r="BD1682">
        <v>0</v>
      </c>
      <c r="BE1682">
        <v>0</v>
      </c>
      <c r="BF1682">
        <v>0</v>
      </c>
      <c r="BG1682">
        <v>0</v>
      </c>
      <c r="BH1682">
        <v>1</v>
      </c>
      <c r="BI1682">
        <v>3</v>
      </c>
      <c r="BJ1682">
        <v>1.4</v>
      </c>
      <c r="BK1682">
        <v>3</v>
      </c>
      <c r="BL1682">
        <v>114.08</v>
      </c>
      <c r="BM1682">
        <v>17.11</v>
      </c>
      <c r="BN1682">
        <v>131.19</v>
      </c>
      <c r="BO1682">
        <v>131.19</v>
      </c>
      <c r="BQ1682" t="s">
        <v>275</v>
      </c>
      <c r="BR1682" t="s">
        <v>82</v>
      </c>
      <c r="BS1682" t="s">
        <v>500</v>
      </c>
      <c r="BV1682" t="s">
        <v>87</v>
      </c>
      <c r="BY1682">
        <v>7000</v>
      </c>
      <c r="CC1682" t="s">
        <v>273</v>
      </c>
      <c r="CD1682">
        <v>6220</v>
      </c>
      <c r="CE1682" t="s">
        <v>86</v>
      </c>
      <c r="CI1682">
        <v>1</v>
      </c>
      <c r="CJ1682" t="s">
        <v>500</v>
      </c>
      <c r="CK1682">
        <v>21</v>
      </c>
      <c r="CL1682" t="s">
        <v>87</v>
      </c>
    </row>
    <row r="1683" spans="1:90" x14ac:dyDescent="0.3">
      <c r="A1683" t="s">
        <v>72</v>
      </c>
      <c r="B1683" t="s">
        <v>73</v>
      </c>
      <c r="C1683" t="s">
        <v>74</v>
      </c>
      <c r="E1683" t="str">
        <f>"080069854608"</f>
        <v>080069854608</v>
      </c>
      <c r="F1683" s="3">
        <v>46002</v>
      </c>
      <c r="G1683">
        <v>202609</v>
      </c>
      <c r="H1683" t="s">
        <v>75</v>
      </c>
      <c r="I1683" t="s">
        <v>76</v>
      </c>
      <c r="J1683" t="s">
        <v>77</v>
      </c>
      <c r="K1683" t="s">
        <v>78</v>
      </c>
      <c r="L1683" t="s">
        <v>502</v>
      </c>
      <c r="M1683" t="s">
        <v>503</v>
      </c>
      <c r="N1683" t="s">
        <v>678</v>
      </c>
      <c r="O1683" t="s">
        <v>89</v>
      </c>
      <c r="P1683" t="str">
        <f>"4170073202                    "</f>
        <v xml:space="preserve">4170073202                    </v>
      </c>
      <c r="Q1683">
        <v>0</v>
      </c>
      <c r="R1683">
        <v>0</v>
      </c>
      <c r="S1683">
        <v>0</v>
      </c>
      <c r="T1683">
        <v>0</v>
      </c>
      <c r="U1683">
        <v>0</v>
      </c>
      <c r="V1683">
        <v>0</v>
      </c>
      <c r="W1683">
        <v>0</v>
      </c>
      <c r="X1683">
        <v>0</v>
      </c>
      <c r="Y1683">
        <v>0</v>
      </c>
      <c r="Z1683">
        <v>0</v>
      </c>
      <c r="AA1683">
        <v>0</v>
      </c>
      <c r="AB1683">
        <v>0</v>
      </c>
      <c r="AC1683">
        <v>0</v>
      </c>
      <c r="AD1683">
        <v>0</v>
      </c>
      <c r="AE1683">
        <v>0</v>
      </c>
      <c r="AF1683">
        <v>0</v>
      </c>
      <c r="AG1683">
        <v>0</v>
      </c>
      <c r="AH1683">
        <v>0</v>
      </c>
      <c r="AI1683">
        <v>0</v>
      </c>
      <c r="AJ1683">
        <v>0</v>
      </c>
      <c r="AK1683">
        <v>0</v>
      </c>
      <c r="AL1683">
        <v>0</v>
      </c>
      <c r="AM1683">
        <v>0</v>
      </c>
      <c r="AN1683">
        <v>0</v>
      </c>
      <c r="AO1683">
        <v>0</v>
      </c>
      <c r="AP1683">
        <v>0</v>
      </c>
      <c r="AQ1683">
        <v>19.940000000000001</v>
      </c>
      <c r="AR1683">
        <v>0</v>
      </c>
      <c r="AS1683">
        <v>0</v>
      </c>
      <c r="AT1683">
        <v>0</v>
      </c>
      <c r="AU1683">
        <v>0</v>
      </c>
      <c r="AV1683">
        <v>0</v>
      </c>
      <c r="AW1683">
        <v>0</v>
      </c>
      <c r="AX1683">
        <v>0</v>
      </c>
      <c r="AY1683">
        <v>0</v>
      </c>
      <c r="AZ1683">
        <v>0</v>
      </c>
      <c r="BA1683">
        <v>0</v>
      </c>
      <c r="BB1683">
        <v>0</v>
      </c>
      <c r="BC1683">
        <v>0</v>
      </c>
      <c r="BD1683">
        <v>0</v>
      </c>
      <c r="BE1683">
        <v>0</v>
      </c>
      <c r="BF1683">
        <v>0</v>
      </c>
      <c r="BG1683">
        <v>0</v>
      </c>
      <c r="BH1683">
        <v>1</v>
      </c>
      <c r="BI1683">
        <v>1</v>
      </c>
      <c r="BJ1683">
        <v>0.2</v>
      </c>
      <c r="BK1683">
        <v>1</v>
      </c>
      <c r="BL1683">
        <v>59.42</v>
      </c>
      <c r="BM1683">
        <v>8.91</v>
      </c>
      <c r="BN1683">
        <v>68.33</v>
      </c>
      <c r="BO1683">
        <v>68.33</v>
      </c>
      <c r="BQ1683" t="s">
        <v>1222</v>
      </c>
      <c r="BR1683" t="s">
        <v>82</v>
      </c>
      <c r="BS1683" t="s">
        <v>500</v>
      </c>
      <c r="BV1683" t="s">
        <v>87</v>
      </c>
      <c r="BY1683">
        <v>1200</v>
      </c>
      <c r="CC1683" t="s">
        <v>503</v>
      </c>
      <c r="CD1683">
        <v>1559</v>
      </c>
      <c r="CE1683" t="s">
        <v>134</v>
      </c>
      <c r="CI1683">
        <v>1</v>
      </c>
      <c r="CJ1683" t="s">
        <v>500</v>
      </c>
      <c r="CK1683">
        <v>22</v>
      </c>
      <c r="CL1683" t="s">
        <v>87</v>
      </c>
    </row>
    <row r="1684" spans="1:90" x14ac:dyDescent="0.3">
      <c r="A1684" t="s">
        <v>72</v>
      </c>
      <c r="B1684" t="s">
        <v>73</v>
      </c>
      <c r="C1684" t="s">
        <v>74</v>
      </c>
      <c r="E1684" t="str">
        <f>"080069854628"</f>
        <v>080069854628</v>
      </c>
      <c r="F1684" s="3">
        <v>46002</v>
      </c>
      <c r="G1684">
        <v>202609</v>
      </c>
      <c r="H1684" t="s">
        <v>75</v>
      </c>
      <c r="I1684" t="s">
        <v>76</v>
      </c>
      <c r="J1684" t="s">
        <v>77</v>
      </c>
      <c r="K1684" t="s">
        <v>78</v>
      </c>
      <c r="L1684" t="s">
        <v>141</v>
      </c>
      <c r="M1684" t="s">
        <v>142</v>
      </c>
      <c r="N1684" t="s">
        <v>312</v>
      </c>
      <c r="O1684" t="s">
        <v>89</v>
      </c>
      <c r="P1684" t="str">
        <f>"4170073223                    "</f>
        <v xml:space="preserve">4170073223                    </v>
      </c>
      <c r="Q1684">
        <v>0</v>
      </c>
      <c r="R1684">
        <v>0</v>
      </c>
      <c r="S1684">
        <v>0</v>
      </c>
      <c r="T1684">
        <v>0</v>
      </c>
      <c r="U1684">
        <v>0</v>
      </c>
      <c r="V1684">
        <v>0</v>
      </c>
      <c r="W1684">
        <v>0</v>
      </c>
      <c r="X1684">
        <v>0</v>
      </c>
      <c r="Y1684">
        <v>0</v>
      </c>
      <c r="Z1684">
        <v>0</v>
      </c>
      <c r="AA1684">
        <v>0</v>
      </c>
      <c r="AB1684">
        <v>0</v>
      </c>
      <c r="AC1684">
        <v>0</v>
      </c>
      <c r="AD1684">
        <v>0</v>
      </c>
      <c r="AE1684">
        <v>0</v>
      </c>
      <c r="AF1684">
        <v>0</v>
      </c>
      <c r="AG1684">
        <v>0</v>
      </c>
      <c r="AH1684">
        <v>0</v>
      </c>
      <c r="AI1684">
        <v>0</v>
      </c>
      <c r="AJ1684">
        <v>0</v>
      </c>
      <c r="AK1684">
        <v>0</v>
      </c>
      <c r="AL1684">
        <v>0</v>
      </c>
      <c r="AM1684">
        <v>0</v>
      </c>
      <c r="AN1684">
        <v>0</v>
      </c>
      <c r="AO1684">
        <v>0</v>
      </c>
      <c r="AP1684">
        <v>0</v>
      </c>
      <c r="AQ1684">
        <v>25.52</v>
      </c>
      <c r="AR1684">
        <v>0</v>
      </c>
      <c r="AS1684">
        <v>0</v>
      </c>
      <c r="AT1684">
        <v>0</v>
      </c>
      <c r="AU1684">
        <v>0</v>
      </c>
      <c r="AV1684">
        <v>0</v>
      </c>
      <c r="AW1684">
        <v>0</v>
      </c>
      <c r="AX1684">
        <v>0</v>
      </c>
      <c r="AY1684">
        <v>0</v>
      </c>
      <c r="AZ1684">
        <v>0</v>
      </c>
      <c r="BA1684">
        <v>0</v>
      </c>
      <c r="BB1684">
        <v>0</v>
      </c>
      <c r="BC1684">
        <v>0</v>
      </c>
      <c r="BD1684">
        <v>0</v>
      </c>
      <c r="BE1684">
        <v>0</v>
      </c>
      <c r="BF1684">
        <v>0</v>
      </c>
      <c r="BG1684">
        <v>0</v>
      </c>
      <c r="BH1684">
        <v>1</v>
      </c>
      <c r="BI1684">
        <v>1</v>
      </c>
      <c r="BJ1684">
        <v>0.2</v>
      </c>
      <c r="BK1684">
        <v>1</v>
      </c>
      <c r="BL1684">
        <v>76.06</v>
      </c>
      <c r="BM1684">
        <v>11.41</v>
      </c>
      <c r="BN1684">
        <v>87.47</v>
      </c>
      <c r="BO1684">
        <v>87.47</v>
      </c>
      <c r="BQ1684" t="s">
        <v>313</v>
      </c>
      <c r="BR1684" t="s">
        <v>82</v>
      </c>
      <c r="BS1684" t="s">
        <v>500</v>
      </c>
      <c r="BV1684" t="s">
        <v>87</v>
      </c>
      <c r="BY1684">
        <v>1200</v>
      </c>
      <c r="CC1684" t="s">
        <v>142</v>
      </c>
      <c r="CD1684">
        <v>6001</v>
      </c>
      <c r="CE1684" t="s">
        <v>134</v>
      </c>
      <c r="CI1684">
        <v>1</v>
      </c>
      <c r="CJ1684" t="s">
        <v>500</v>
      </c>
      <c r="CK1684">
        <v>21</v>
      </c>
      <c r="CL1684" t="s">
        <v>87</v>
      </c>
    </row>
    <row r="1685" spans="1:90" x14ac:dyDescent="0.3">
      <c r="A1685" t="s">
        <v>72</v>
      </c>
      <c r="B1685" t="s">
        <v>73</v>
      </c>
      <c r="C1685" t="s">
        <v>74</v>
      </c>
      <c r="E1685" t="str">
        <f>"080069854633"</f>
        <v>080069854633</v>
      </c>
      <c r="F1685" s="3">
        <v>46002</v>
      </c>
      <c r="G1685">
        <v>202609</v>
      </c>
      <c r="H1685" t="s">
        <v>75</v>
      </c>
      <c r="I1685" t="s">
        <v>76</v>
      </c>
      <c r="J1685" t="s">
        <v>77</v>
      </c>
      <c r="K1685" t="s">
        <v>78</v>
      </c>
      <c r="L1685" t="s">
        <v>265</v>
      </c>
      <c r="M1685" t="s">
        <v>266</v>
      </c>
      <c r="N1685" t="s">
        <v>1787</v>
      </c>
      <c r="O1685" t="s">
        <v>340</v>
      </c>
      <c r="P1685" t="str">
        <f>"4170073050                    "</f>
        <v xml:space="preserve">4170073050                    </v>
      </c>
      <c r="Q1685">
        <v>0</v>
      </c>
      <c r="R1685">
        <v>0</v>
      </c>
      <c r="S1685">
        <v>0</v>
      </c>
      <c r="T1685">
        <v>0</v>
      </c>
      <c r="U1685">
        <v>0</v>
      </c>
      <c r="V1685">
        <v>0</v>
      </c>
      <c r="W1685">
        <v>0</v>
      </c>
      <c r="X1685">
        <v>0</v>
      </c>
      <c r="Y1685">
        <v>0</v>
      </c>
      <c r="Z1685">
        <v>0</v>
      </c>
      <c r="AA1685">
        <v>0</v>
      </c>
      <c r="AB1685">
        <v>0</v>
      </c>
      <c r="AC1685">
        <v>0</v>
      </c>
      <c r="AD1685">
        <v>0</v>
      </c>
      <c r="AE1685">
        <v>0</v>
      </c>
      <c r="AF1685">
        <v>0</v>
      </c>
      <c r="AG1685">
        <v>0</v>
      </c>
      <c r="AH1685">
        <v>0</v>
      </c>
      <c r="AI1685">
        <v>0</v>
      </c>
      <c r="AJ1685">
        <v>0</v>
      </c>
      <c r="AK1685">
        <v>0</v>
      </c>
      <c r="AL1685">
        <v>0</v>
      </c>
      <c r="AM1685">
        <v>0</v>
      </c>
      <c r="AN1685">
        <v>0</v>
      </c>
      <c r="AO1685">
        <v>0</v>
      </c>
      <c r="AP1685">
        <v>0</v>
      </c>
      <c r="AQ1685">
        <v>28.89</v>
      </c>
      <c r="AR1685">
        <v>0</v>
      </c>
      <c r="AS1685">
        <v>0</v>
      </c>
      <c r="AT1685">
        <v>0</v>
      </c>
      <c r="AU1685">
        <v>0</v>
      </c>
      <c r="AV1685">
        <v>0</v>
      </c>
      <c r="AW1685">
        <v>0</v>
      </c>
      <c r="AX1685">
        <v>0</v>
      </c>
      <c r="AY1685">
        <v>0</v>
      </c>
      <c r="AZ1685">
        <v>0</v>
      </c>
      <c r="BA1685">
        <v>0</v>
      </c>
      <c r="BB1685">
        <v>0</v>
      </c>
      <c r="BC1685">
        <v>0</v>
      </c>
      <c r="BD1685">
        <v>0</v>
      </c>
      <c r="BE1685">
        <v>0</v>
      </c>
      <c r="BF1685">
        <v>0</v>
      </c>
      <c r="BG1685">
        <v>0</v>
      </c>
      <c r="BH1685">
        <v>1</v>
      </c>
      <c r="BI1685">
        <v>5</v>
      </c>
      <c r="BJ1685">
        <v>11.3</v>
      </c>
      <c r="BK1685">
        <v>12</v>
      </c>
      <c r="BL1685">
        <v>86.1</v>
      </c>
      <c r="BM1685">
        <v>12.92</v>
      </c>
      <c r="BN1685">
        <v>99.02</v>
      </c>
      <c r="BO1685">
        <v>99.02</v>
      </c>
      <c r="BQ1685" t="s">
        <v>1788</v>
      </c>
      <c r="BR1685" t="s">
        <v>82</v>
      </c>
      <c r="BS1685" s="3">
        <v>46003</v>
      </c>
      <c r="BT1685" s="4">
        <v>0.31597222222222221</v>
      </c>
      <c r="BU1685" t="s">
        <v>2192</v>
      </c>
      <c r="BV1685" t="s">
        <v>84</v>
      </c>
      <c r="BY1685">
        <v>56320</v>
      </c>
      <c r="CA1685" t="s">
        <v>417</v>
      </c>
      <c r="CC1685" t="s">
        <v>266</v>
      </c>
      <c r="CD1685">
        <v>1459</v>
      </c>
      <c r="CE1685" t="s">
        <v>93</v>
      </c>
      <c r="CI1685">
        <v>1</v>
      </c>
      <c r="CJ1685">
        <v>1</v>
      </c>
      <c r="CK1685">
        <v>32</v>
      </c>
      <c r="CL1685" t="s">
        <v>87</v>
      </c>
    </row>
    <row r="1686" spans="1:90" x14ac:dyDescent="0.3">
      <c r="A1686" t="s">
        <v>72</v>
      </c>
      <c r="B1686" t="s">
        <v>73</v>
      </c>
      <c r="C1686" t="s">
        <v>74</v>
      </c>
      <c r="E1686" t="str">
        <f>"080069854638"</f>
        <v>080069854638</v>
      </c>
      <c r="F1686" s="3">
        <v>46002</v>
      </c>
      <c r="G1686">
        <v>202609</v>
      </c>
      <c r="H1686" t="s">
        <v>75</v>
      </c>
      <c r="I1686" t="s">
        <v>76</v>
      </c>
      <c r="J1686" t="s">
        <v>77</v>
      </c>
      <c r="K1686" t="s">
        <v>78</v>
      </c>
      <c r="L1686" t="s">
        <v>218</v>
      </c>
      <c r="M1686" t="s">
        <v>219</v>
      </c>
      <c r="N1686" t="s">
        <v>220</v>
      </c>
      <c r="O1686" t="s">
        <v>89</v>
      </c>
      <c r="P1686" t="str">
        <f>"4170073186                    "</f>
        <v xml:space="preserve">4170073186                    </v>
      </c>
      <c r="Q1686">
        <v>0</v>
      </c>
      <c r="R1686">
        <v>0</v>
      </c>
      <c r="S1686">
        <v>0</v>
      </c>
      <c r="T1686">
        <v>0</v>
      </c>
      <c r="U1686">
        <v>0</v>
      </c>
      <c r="V1686">
        <v>0</v>
      </c>
      <c r="W1686">
        <v>0</v>
      </c>
      <c r="X1686">
        <v>0</v>
      </c>
      <c r="Y1686">
        <v>0</v>
      </c>
      <c r="Z1686">
        <v>0</v>
      </c>
      <c r="AA1686">
        <v>0</v>
      </c>
      <c r="AB1686">
        <v>0</v>
      </c>
      <c r="AC1686">
        <v>0</v>
      </c>
      <c r="AD1686">
        <v>0</v>
      </c>
      <c r="AE1686">
        <v>0</v>
      </c>
      <c r="AF1686">
        <v>0</v>
      </c>
      <c r="AG1686">
        <v>0</v>
      </c>
      <c r="AH1686">
        <v>0</v>
      </c>
      <c r="AI1686">
        <v>0</v>
      </c>
      <c r="AJ1686">
        <v>0</v>
      </c>
      <c r="AK1686">
        <v>0</v>
      </c>
      <c r="AL1686">
        <v>0</v>
      </c>
      <c r="AM1686">
        <v>0</v>
      </c>
      <c r="AN1686">
        <v>0</v>
      </c>
      <c r="AO1686">
        <v>0</v>
      </c>
      <c r="AP1686">
        <v>0</v>
      </c>
      <c r="AQ1686">
        <v>60.62</v>
      </c>
      <c r="AR1686">
        <v>0</v>
      </c>
      <c r="AS1686">
        <v>0</v>
      </c>
      <c r="AT1686">
        <v>0</v>
      </c>
      <c r="AU1686">
        <v>0</v>
      </c>
      <c r="AV1686">
        <v>0</v>
      </c>
      <c r="AW1686">
        <v>0</v>
      </c>
      <c r="AX1686">
        <v>0</v>
      </c>
      <c r="AY1686">
        <v>0</v>
      </c>
      <c r="AZ1686">
        <v>0</v>
      </c>
      <c r="BA1686">
        <v>0</v>
      </c>
      <c r="BB1686">
        <v>0</v>
      </c>
      <c r="BC1686">
        <v>0</v>
      </c>
      <c r="BD1686">
        <v>0</v>
      </c>
      <c r="BE1686">
        <v>0</v>
      </c>
      <c r="BF1686">
        <v>0</v>
      </c>
      <c r="BG1686">
        <v>0</v>
      </c>
      <c r="BH1686">
        <v>1</v>
      </c>
      <c r="BI1686">
        <v>1</v>
      </c>
      <c r="BJ1686">
        <v>2.4</v>
      </c>
      <c r="BK1686">
        <v>2.5</v>
      </c>
      <c r="BL1686">
        <v>180.66</v>
      </c>
      <c r="BM1686">
        <v>27.1</v>
      </c>
      <c r="BN1686">
        <v>207.76</v>
      </c>
      <c r="BO1686">
        <v>207.76</v>
      </c>
      <c r="BQ1686" t="s">
        <v>221</v>
      </c>
      <c r="BR1686" t="s">
        <v>82</v>
      </c>
      <c r="BS1686" t="s">
        <v>500</v>
      </c>
      <c r="BV1686" t="s">
        <v>87</v>
      </c>
      <c r="BY1686">
        <v>12030</v>
      </c>
      <c r="CC1686" t="s">
        <v>219</v>
      </c>
      <c r="CD1686">
        <v>2740</v>
      </c>
      <c r="CE1686" t="s">
        <v>134</v>
      </c>
      <c r="CI1686">
        <v>1</v>
      </c>
      <c r="CJ1686" t="s">
        <v>500</v>
      </c>
      <c r="CK1686">
        <v>23</v>
      </c>
      <c r="CL1686" t="s">
        <v>87</v>
      </c>
    </row>
    <row r="1687" spans="1:90" x14ac:dyDescent="0.3">
      <c r="A1687" t="s">
        <v>72</v>
      </c>
      <c r="B1687" t="s">
        <v>73</v>
      </c>
      <c r="C1687" t="s">
        <v>74</v>
      </c>
      <c r="E1687" t="str">
        <f>"080069854664"</f>
        <v>080069854664</v>
      </c>
      <c r="F1687" s="3">
        <v>46002</v>
      </c>
      <c r="G1687">
        <v>202609</v>
      </c>
      <c r="H1687" t="s">
        <v>75</v>
      </c>
      <c r="I1687" t="s">
        <v>76</v>
      </c>
      <c r="J1687" t="s">
        <v>77</v>
      </c>
      <c r="K1687" t="s">
        <v>78</v>
      </c>
      <c r="L1687" t="s">
        <v>75</v>
      </c>
      <c r="M1687" t="s">
        <v>76</v>
      </c>
      <c r="N1687" t="s">
        <v>88</v>
      </c>
      <c r="O1687" t="s">
        <v>89</v>
      </c>
      <c r="P1687" t="str">
        <f>"4170073204                    "</f>
        <v xml:space="preserve">4170073204                    </v>
      </c>
      <c r="Q1687">
        <v>0</v>
      </c>
      <c r="R1687">
        <v>0</v>
      </c>
      <c r="S1687">
        <v>0</v>
      </c>
      <c r="T1687">
        <v>0</v>
      </c>
      <c r="U1687">
        <v>0</v>
      </c>
      <c r="V1687">
        <v>0</v>
      </c>
      <c r="W1687">
        <v>0</v>
      </c>
      <c r="X1687">
        <v>0</v>
      </c>
      <c r="Y1687">
        <v>0</v>
      </c>
      <c r="Z1687">
        <v>0</v>
      </c>
      <c r="AA1687">
        <v>0</v>
      </c>
      <c r="AB1687">
        <v>0</v>
      </c>
      <c r="AC1687">
        <v>0</v>
      </c>
      <c r="AD1687">
        <v>0</v>
      </c>
      <c r="AE1687">
        <v>0</v>
      </c>
      <c r="AF1687">
        <v>0</v>
      </c>
      <c r="AG1687">
        <v>0</v>
      </c>
      <c r="AH1687">
        <v>0</v>
      </c>
      <c r="AI1687">
        <v>0</v>
      </c>
      <c r="AJ1687">
        <v>0</v>
      </c>
      <c r="AK1687">
        <v>0</v>
      </c>
      <c r="AL1687">
        <v>0</v>
      </c>
      <c r="AM1687">
        <v>0</v>
      </c>
      <c r="AN1687">
        <v>0</v>
      </c>
      <c r="AO1687">
        <v>0</v>
      </c>
      <c r="AP1687">
        <v>0</v>
      </c>
      <c r="AQ1687">
        <v>19.940000000000001</v>
      </c>
      <c r="AR1687">
        <v>0</v>
      </c>
      <c r="AS1687">
        <v>0</v>
      </c>
      <c r="AT1687">
        <v>0</v>
      </c>
      <c r="AU1687">
        <v>0</v>
      </c>
      <c r="AV1687">
        <v>0</v>
      </c>
      <c r="AW1687">
        <v>0</v>
      </c>
      <c r="AX1687">
        <v>0</v>
      </c>
      <c r="AY1687">
        <v>0</v>
      </c>
      <c r="AZ1687">
        <v>0</v>
      </c>
      <c r="BA1687">
        <v>0</v>
      </c>
      <c r="BB1687">
        <v>0</v>
      </c>
      <c r="BC1687">
        <v>0</v>
      </c>
      <c r="BD1687">
        <v>0</v>
      </c>
      <c r="BE1687">
        <v>0</v>
      </c>
      <c r="BF1687">
        <v>0</v>
      </c>
      <c r="BG1687">
        <v>0</v>
      </c>
      <c r="BH1687">
        <v>1</v>
      </c>
      <c r="BI1687">
        <v>1</v>
      </c>
      <c r="BJ1687">
        <v>0.2</v>
      </c>
      <c r="BK1687">
        <v>1</v>
      </c>
      <c r="BL1687">
        <v>59.42</v>
      </c>
      <c r="BM1687">
        <v>8.91</v>
      </c>
      <c r="BN1687">
        <v>68.33</v>
      </c>
      <c r="BO1687">
        <v>68.33</v>
      </c>
      <c r="BQ1687" t="s">
        <v>90</v>
      </c>
      <c r="BR1687" t="s">
        <v>82</v>
      </c>
      <c r="BS1687" s="3">
        <v>46003</v>
      </c>
      <c r="BT1687" s="4">
        <v>0.29930555555555555</v>
      </c>
      <c r="BU1687" t="s">
        <v>91</v>
      </c>
      <c r="BV1687" t="s">
        <v>84</v>
      </c>
      <c r="BY1687">
        <v>1200</v>
      </c>
      <c r="CA1687" t="s">
        <v>92</v>
      </c>
      <c r="CC1687" t="s">
        <v>76</v>
      </c>
      <c r="CD1687">
        <v>1600</v>
      </c>
      <c r="CE1687" t="s">
        <v>134</v>
      </c>
      <c r="CI1687">
        <v>1</v>
      </c>
      <c r="CJ1687">
        <v>1</v>
      </c>
      <c r="CK1687">
        <v>22</v>
      </c>
      <c r="CL1687" t="s">
        <v>87</v>
      </c>
    </row>
    <row r="1688" spans="1:90" x14ac:dyDescent="0.3">
      <c r="A1688" t="s">
        <v>72</v>
      </c>
      <c r="B1688" t="s">
        <v>73</v>
      </c>
      <c r="C1688" t="s">
        <v>74</v>
      </c>
      <c r="E1688" t="str">
        <f>"080069854672"</f>
        <v>080069854672</v>
      </c>
      <c r="F1688" s="3">
        <v>46002</v>
      </c>
      <c r="G1688">
        <v>202609</v>
      </c>
      <c r="H1688" t="s">
        <v>75</v>
      </c>
      <c r="I1688" t="s">
        <v>76</v>
      </c>
      <c r="J1688" t="s">
        <v>77</v>
      </c>
      <c r="K1688" t="s">
        <v>78</v>
      </c>
      <c r="L1688" t="s">
        <v>458</v>
      </c>
      <c r="M1688" t="s">
        <v>459</v>
      </c>
      <c r="N1688" t="s">
        <v>460</v>
      </c>
      <c r="O1688" t="s">
        <v>89</v>
      </c>
      <c r="P1688" t="str">
        <f>"4170073084                    "</f>
        <v xml:space="preserve">4170073084                    </v>
      </c>
      <c r="Q1688">
        <v>0</v>
      </c>
      <c r="R1688">
        <v>0</v>
      </c>
      <c r="S1688">
        <v>0</v>
      </c>
      <c r="T1688">
        <v>0</v>
      </c>
      <c r="U1688">
        <v>0</v>
      </c>
      <c r="V1688">
        <v>0</v>
      </c>
      <c r="W1688">
        <v>0</v>
      </c>
      <c r="X1688">
        <v>0</v>
      </c>
      <c r="Y1688">
        <v>0</v>
      </c>
      <c r="Z1688">
        <v>0</v>
      </c>
      <c r="AA1688">
        <v>0</v>
      </c>
      <c r="AB1688">
        <v>0</v>
      </c>
      <c r="AC1688">
        <v>0</v>
      </c>
      <c r="AD1688">
        <v>0</v>
      </c>
      <c r="AE1688">
        <v>0</v>
      </c>
      <c r="AF1688">
        <v>0</v>
      </c>
      <c r="AG1688">
        <v>0</v>
      </c>
      <c r="AH1688">
        <v>0</v>
      </c>
      <c r="AI1688">
        <v>0</v>
      </c>
      <c r="AJ1688">
        <v>0</v>
      </c>
      <c r="AK1688">
        <v>0</v>
      </c>
      <c r="AL1688">
        <v>0</v>
      </c>
      <c r="AM1688">
        <v>0</v>
      </c>
      <c r="AN1688">
        <v>0</v>
      </c>
      <c r="AO1688">
        <v>0</v>
      </c>
      <c r="AP1688">
        <v>0</v>
      </c>
      <c r="AQ1688">
        <v>82.95</v>
      </c>
      <c r="AR1688">
        <v>0</v>
      </c>
      <c r="AS1688">
        <v>0</v>
      </c>
      <c r="AT1688">
        <v>0</v>
      </c>
      <c r="AU1688">
        <v>0</v>
      </c>
      <c r="AV1688">
        <v>0</v>
      </c>
      <c r="AW1688">
        <v>0</v>
      </c>
      <c r="AX1688">
        <v>0</v>
      </c>
      <c r="AY1688">
        <v>0</v>
      </c>
      <c r="AZ1688">
        <v>0</v>
      </c>
      <c r="BA1688">
        <v>0</v>
      </c>
      <c r="BB1688">
        <v>0</v>
      </c>
      <c r="BC1688">
        <v>0</v>
      </c>
      <c r="BD1688">
        <v>0</v>
      </c>
      <c r="BE1688">
        <v>0</v>
      </c>
      <c r="BF1688">
        <v>0</v>
      </c>
      <c r="BG1688">
        <v>0</v>
      </c>
      <c r="BH1688">
        <v>1</v>
      </c>
      <c r="BI1688">
        <v>2</v>
      </c>
      <c r="BJ1688">
        <v>3.3</v>
      </c>
      <c r="BK1688">
        <v>3.5</v>
      </c>
      <c r="BL1688">
        <v>247.21</v>
      </c>
      <c r="BM1688">
        <v>37.08</v>
      </c>
      <c r="BN1688">
        <v>284.29000000000002</v>
      </c>
      <c r="BO1688">
        <v>284.29000000000002</v>
      </c>
      <c r="BQ1688" t="s">
        <v>461</v>
      </c>
      <c r="BR1688" t="s">
        <v>82</v>
      </c>
      <c r="BS1688" t="s">
        <v>500</v>
      </c>
      <c r="BV1688" t="s">
        <v>87</v>
      </c>
      <c r="BY1688">
        <v>16632</v>
      </c>
      <c r="CC1688" t="s">
        <v>459</v>
      </c>
      <c r="CD1688">
        <v>7130</v>
      </c>
      <c r="CE1688" t="s">
        <v>93</v>
      </c>
      <c r="CI1688">
        <v>1</v>
      </c>
      <c r="CJ1688" t="s">
        <v>500</v>
      </c>
      <c r="CK1688">
        <v>23</v>
      </c>
      <c r="CL1688" t="s">
        <v>87</v>
      </c>
    </row>
    <row r="1689" spans="1:90" x14ac:dyDescent="0.3">
      <c r="A1689" t="s">
        <v>72</v>
      </c>
      <c r="B1689" t="s">
        <v>73</v>
      </c>
      <c r="C1689" t="s">
        <v>74</v>
      </c>
      <c r="E1689" t="str">
        <f>"080069854688"</f>
        <v>080069854688</v>
      </c>
      <c r="F1689" s="3">
        <v>46002</v>
      </c>
      <c r="G1689">
        <v>202609</v>
      </c>
      <c r="H1689" t="s">
        <v>75</v>
      </c>
      <c r="I1689" t="s">
        <v>76</v>
      </c>
      <c r="J1689" t="s">
        <v>77</v>
      </c>
      <c r="K1689" t="s">
        <v>78</v>
      </c>
      <c r="L1689" t="s">
        <v>100</v>
      </c>
      <c r="M1689" t="s">
        <v>101</v>
      </c>
      <c r="N1689" t="s">
        <v>102</v>
      </c>
      <c r="O1689" t="s">
        <v>89</v>
      </c>
      <c r="P1689" t="str">
        <f>"4170073198                    "</f>
        <v xml:space="preserve">4170073198                    </v>
      </c>
      <c r="Q1689">
        <v>0</v>
      </c>
      <c r="R1689">
        <v>0</v>
      </c>
      <c r="S1689">
        <v>0</v>
      </c>
      <c r="T1689">
        <v>0</v>
      </c>
      <c r="U1689">
        <v>0</v>
      </c>
      <c r="V1689">
        <v>0</v>
      </c>
      <c r="W1689">
        <v>0</v>
      </c>
      <c r="X1689">
        <v>0</v>
      </c>
      <c r="Y1689">
        <v>0</v>
      </c>
      <c r="Z1689">
        <v>0</v>
      </c>
      <c r="AA1689">
        <v>0</v>
      </c>
      <c r="AB1689">
        <v>0</v>
      </c>
      <c r="AC1689">
        <v>0</v>
      </c>
      <c r="AD1689">
        <v>0</v>
      </c>
      <c r="AE1689">
        <v>0</v>
      </c>
      <c r="AF1689">
        <v>0</v>
      </c>
      <c r="AG1689">
        <v>0</v>
      </c>
      <c r="AH1689">
        <v>0</v>
      </c>
      <c r="AI1689">
        <v>0</v>
      </c>
      <c r="AJ1689">
        <v>0</v>
      </c>
      <c r="AK1689">
        <v>0</v>
      </c>
      <c r="AL1689">
        <v>0</v>
      </c>
      <c r="AM1689">
        <v>0</v>
      </c>
      <c r="AN1689">
        <v>0</v>
      </c>
      <c r="AO1689">
        <v>0</v>
      </c>
      <c r="AP1689">
        <v>0</v>
      </c>
      <c r="AQ1689">
        <v>25.52</v>
      </c>
      <c r="AR1689">
        <v>0</v>
      </c>
      <c r="AS1689">
        <v>0</v>
      </c>
      <c r="AT1689">
        <v>0</v>
      </c>
      <c r="AU1689">
        <v>0</v>
      </c>
      <c r="AV1689">
        <v>0</v>
      </c>
      <c r="AW1689">
        <v>0</v>
      </c>
      <c r="AX1689">
        <v>0</v>
      </c>
      <c r="AY1689">
        <v>0</v>
      </c>
      <c r="AZ1689">
        <v>0</v>
      </c>
      <c r="BA1689">
        <v>0</v>
      </c>
      <c r="BB1689">
        <v>0</v>
      </c>
      <c r="BC1689">
        <v>0</v>
      </c>
      <c r="BD1689">
        <v>0</v>
      </c>
      <c r="BE1689">
        <v>0</v>
      </c>
      <c r="BF1689">
        <v>0</v>
      </c>
      <c r="BG1689">
        <v>0</v>
      </c>
      <c r="BH1689">
        <v>1</v>
      </c>
      <c r="BI1689">
        <v>1</v>
      </c>
      <c r="BJ1689">
        <v>0.2</v>
      </c>
      <c r="BK1689">
        <v>1</v>
      </c>
      <c r="BL1689">
        <v>76.06</v>
      </c>
      <c r="BM1689">
        <v>11.41</v>
      </c>
      <c r="BN1689">
        <v>87.47</v>
      </c>
      <c r="BO1689">
        <v>87.47</v>
      </c>
      <c r="BQ1689" t="s">
        <v>103</v>
      </c>
      <c r="BR1689" t="s">
        <v>82</v>
      </c>
      <c r="BS1689" t="s">
        <v>500</v>
      </c>
      <c r="BV1689" t="s">
        <v>87</v>
      </c>
      <c r="BY1689">
        <v>1200</v>
      </c>
      <c r="CC1689" t="s">
        <v>101</v>
      </c>
      <c r="CD1689">
        <v>4000</v>
      </c>
      <c r="CE1689" t="s">
        <v>134</v>
      </c>
      <c r="CI1689">
        <v>1</v>
      </c>
      <c r="CJ1689" t="s">
        <v>500</v>
      </c>
      <c r="CK1689">
        <v>21</v>
      </c>
      <c r="CL1689" t="s">
        <v>87</v>
      </c>
    </row>
    <row r="1690" spans="1:90" x14ac:dyDescent="0.3">
      <c r="A1690" t="s">
        <v>72</v>
      </c>
      <c r="B1690" t="s">
        <v>73</v>
      </c>
      <c r="C1690" t="s">
        <v>74</v>
      </c>
      <c r="E1690" t="str">
        <f>"080069854712"</f>
        <v>080069854712</v>
      </c>
      <c r="F1690" s="3">
        <v>46002</v>
      </c>
      <c r="G1690">
        <v>202609</v>
      </c>
      <c r="H1690" t="s">
        <v>75</v>
      </c>
      <c r="I1690" t="s">
        <v>76</v>
      </c>
      <c r="J1690" t="s">
        <v>77</v>
      </c>
      <c r="K1690" t="s">
        <v>78</v>
      </c>
      <c r="L1690" t="s">
        <v>389</v>
      </c>
      <c r="M1690" t="s">
        <v>390</v>
      </c>
      <c r="N1690" t="s">
        <v>581</v>
      </c>
      <c r="O1690" t="s">
        <v>89</v>
      </c>
      <c r="P1690" t="str">
        <f>"4170073212                    "</f>
        <v xml:space="preserve">4170073212                    </v>
      </c>
      <c r="Q1690">
        <v>0</v>
      </c>
      <c r="R1690">
        <v>0</v>
      </c>
      <c r="S1690">
        <v>0</v>
      </c>
      <c r="T1690">
        <v>0</v>
      </c>
      <c r="U1690">
        <v>0</v>
      </c>
      <c r="V1690">
        <v>0</v>
      </c>
      <c r="W1690">
        <v>0</v>
      </c>
      <c r="X1690">
        <v>0</v>
      </c>
      <c r="Y1690">
        <v>0</v>
      </c>
      <c r="Z1690">
        <v>0</v>
      </c>
      <c r="AA1690">
        <v>0</v>
      </c>
      <c r="AB1690">
        <v>0</v>
      </c>
      <c r="AC1690">
        <v>0</v>
      </c>
      <c r="AD1690">
        <v>0</v>
      </c>
      <c r="AE1690">
        <v>0</v>
      </c>
      <c r="AF1690">
        <v>0</v>
      </c>
      <c r="AG1690">
        <v>0</v>
      </c>
      <c r="AH1690">
        <v>0</v>
      </c>
      <c r="AI1690">
        <v>0</v>
      </c>
      <c r="AJ1690">
        <v>0</v>
      </c>
      <c r="AK1690">
        <v>0</v>
      </c>
      <c r="AL1690">
        <v>0</v>
      </c>
      <c r="AM1690">
        <v>0</v>
      </c>
      <c r="AN1690">
        <v>0</v>
      </c>
      <c r="AO1690">
        <v>0</v>
      </c>
      <c r="AP1690">
        <v>0</v>
      </c>
      <c r="AQ1690">
        <v>94.12</v>
      </c>
      <c r="AR1690">
        <v>0</v>
      </c>
      <c r="AS1690">
        <v>0</v>
      </c>
      <c r="AT1690">
        <v>0</v>
      </c>
      <c r="AU1690">
        <v>0</v>
      </c>
      <c r="AV1690">
        <v>0</v>
      </c>
      <c r="AW1690">
        <v>0</v>
      </c>
      <c r="AX1690">
        <v>0</v>
      </c>
      <c r="AY1690">
        <v>0</v>
      </c>
      <c r="AZ1690">
        <v>0</v>
      </c>
      <c r="BA1690">
        <v>0</v>
      </c>
      <c r="BB1690">
        <v>0</v>
      </c>
      <c r="BC1690">
        <v>0</v>
      </c>
      <c r="BD1690">
        <v>0</v>
      </c>
      <c r="BE1690">
        <v>0</v>
      </c>
      <c r="BF1690">
        <v>0</v>
      </c>
      <c r="BG1690">
        <v>0</v>
      </c>
      <c r="BH1690">
        <v>1</v>
      </c>
      <c r="BI1690">
        <v>4</v>
      </c>
      <c r="BJ1690">
        <v>1.7</v>
      </c>
      <c r="BK1690">
        <v>4</v>
      </c>
      <c r="BL1690">
        <v>280.49</v>
      </c>
      <c r="BM1690">
        <v>42.07</v>
      </c>
      <c r="BN1690">
        <v>322.56</v>
      </c>
      <c r="BO1690">
        <v>322.56</v>
      </c>
      <c r="BQ1690" t="s">
        <v>582</v>
      </c>
      <c r="BR1690" t="s">
        <v>82</v>
      </c>
      <c r="BS1690" t="s">
        <v>500</v>
      </c>
      <c r="BV1690" t="s">
        <v>87</v>
      </c>
      <c r="BY1690">
        <v>8428</v>
      </c>
      <c r="CC1690" t="s">
        <v>390</v>
      </c>
      <c r="CD1690" s="5" t="s">
        <v>395</v>
      </c>
      <c r="CE1690" t="s">
        <v>93</v>
      </c>
      <c r="CI1690">
        <v>1</v>
      </c>
      <c r="CJ1690" t="s">
        <v>500</v>
      </c>
      <c r="CK1690">
        <v>23</v>
      </c>
      <c r="CL1690" t="s">
        <v>87</v>
      </c>
    </row>
    <row r="1691" spans="1:90" x14ac:dyDescent="0.3">
      <c r="A1691" t="s">
        <v>72</v>
      </c>
      <c r="B1691" t="s">
        <v>73</v>
      </c>
      <c r="C1691" t="s">
        <v>74</v>
      </c>
      <c r="E1691" t="str">
        <f>"080069854714"</f>
        <v>080069854714</v>
      </c>
      <c r="F1691" s="3">
        <v>46002</v>
      </c>
      <c r="G1691">
        <v>202609</v>
      </c>
      <c r="H1691" t="s">
        <v>75</v>
      </c>
      <c r="I1691" t="s">
        <v>76</v>
      </c>
      <c r="J1691" t="s">
        <v>77</v>
      </c>
      <c r="K1691" t="s">
        <v>78</v>
      </c>
      <c r="L1691" t="s">
        <v>189</v>
      </c>
      <c r="M1691" t="s">
        <v>190</v>
      </c>
      <c r="N1691" t="s">
        <v>191</v>
      </c>
      <c r="O1691" t="s">
        <v>89</v>
      </c>
      <c r="P1691" t="str">
        <f>"4170073221                    "</f>
        <v xml:space="preserve">4170073221                    </v>
      </c>
      <c r="Q1691">
        <v>0</v>
      </c>
      <c r="R1691">
        <v>0</v>
      </c>
      <c r="S1691">
        <v>0</v>
      </c>
      <c r="T1691">
        <v>0</v>
      </c>
      <c r="U1691">
        <v>0</v>
      </c>
      <c r="V1691">
        <v>0</v>
      </c>
      <c r="W1691">
        <v>0</v>
      </c>
      <c r="X1691">
        <v>0</v>
      </c>
      <c r="Y1691">
        <v>0</v>
      </c>
      <c r="Z1691">
        <v>0</v>
      </c>
      <c r="AA1691">
        <v>0</v>
      </c>
      <c r="AB1691">
        <v>0</v>
      </c>
      <c r="AC1691">
        <v>0</v>
      </c>
      <c r="AD1691">
        <v>0</v>
      </c>
      <c r="AE1691">
        <v>0</v>
      </c>
      <c r="AF1691">
        <v>0</v>
      </c>
      <c r="AG1691">
        <v>0</v>
      </c>
      <c r="AH1691">
        <v>0</v>
      </c>
      <c r="AI1691">
        <v>0</v>
      </c>
      <c r="AJ1691">
        <v>0</v>
      </c>
      <c r="AK1691">
        <v>0</v>
      </c>
      <c r="AL1691">
        <v>0</v>
      </c>
      <c r="AM1691">
        <v>0</v>
      </c>
      <c r="AN1691">
        <v>0</v>
      </c>
      <c r="AO1691">
        <v>0</v>
      </c>
      <c r="AP1691">
        <v>0</v>
      </c>
      <c r="AQ1691">
        <v>25.52</v>
      </c>
      <c r="AR1691">
        <v>0</v>
      </c>
      <c r="AS1691">
        <v>0</v>
      </c>
      <c r="AT1691">
        <v>0</v>
      </c>
      <c r="AU1691">
        <v>0</v>
      </c>
      <c r="AV1691">
        <v>0</v>
      </c>
      <c r="AW1691">
        <v>0</v>
      </c>
      <c r="AX1691">
        <v>0</v>
      </c>
      <c r="AY1691">
        <v>0</v>
      </c>
      <c r="AZ1691">
        <v>0</v>
      </c>
      <c r="BA1691">
        <v>0</v>
      </c>
      <c r="BB1691">
        <v>0</v>
      </c>
      <c r="BC1691">
        <v>0</v>
      </c>
      <c r="BD1691">
        <v>0</v>
      </c>
      <c r="BE1691">
        <v>0</v>
      </c>
      <c r="BF1691">
        <v>0</v>
      </c>
      <c r="BG1691">
        <v>0</v>
      </c>
      <c r="BH1691">
        <v>1</v>
      </c>
      <c r="BI1691">
        <v>1</v>
      </c>
      <c r="BJ1691">
        <v>0.2</v>
      </c>
      <c r="BK1691">
        <v>1</v>
      </c>
      <c r="BL1691">
        <v>76.06</v>
      </c>
      <c r="BM1691">
        <v>11.41</v>
      </c>
      <c r="BN1691">
        <v>87.47</v>
      </c>
      <c r="BO1691">
        <v>87.47</v>
      </c>
      <c r="BQ1691" t="s">
        <v>192</v>
      </c>
      <c r="BR1691" t="s">
        <v>82</v>
      </c>
      <c r="BS1691" t="s">
        <v>500</v>
      </c>
      <c r="BV1691" t="s">
        <v>87</v>
      </c>
      <c r="BY1691">
        <v>1200</v>
      </c>
      <c r="CC1691" t="s">
        <v>190</v>
      </c>
      <c r="CD1691">
        <v>3201</v>
      </c>
      <c r="CE1691" t="s">
        <v>134</v>
      </c>
      <c r="CI1691">
        <v>1</v>
      </c>
      <c r="CJ1691" t="s">
        <v>500</v>
      </c>
      <c r="CK1691">
        <v>21</v>
      </c>
      <c r="CL1691" t="s">
        <v>87</v>
      </c>
    </row>
    <row r="1692" spans="1:90" x14ac:dyDescent="0.3">
      <c r="A1692" t="s">
        <v>72</v>
      </c>
      <c r="B1692" t="s">
        <v>73</v>
      </c>
      <c r="C1692" t="s">
        <v>74</v>
      </c>
      <c r="E1692" t="str">
        <f>"009944129709"</f>
        <v>009944129709</v>
      </c>
      <c r="F1692" s="3">
        <v>46002</v>
      </c>
      <c r="G1692">
        <v>202609</v>
      </c>
      <c r="H1692" t="s">
        <v>156</v>
      </c>
      <c r="I1692" t="s">
        <v>157</v>
      </c>
      <c r="J1692" t="s">
        <v>2234</v>
      </c>
      <c r="K1692" t="s">
        <v>78</v>
      </c>
      <c r="L1692" t="s">
        <v>458</v>
      </c>
      <c r="M1692" t="s">
        <v>459</v>
      </c>
      <c r="N1692" t="s">
        <v>2235</v>
      </c>
      <c r="O1692" t="s">
        <v>80</v>
      </c>
      <c r="P1692" t="str">
        <f>"NA                            "</f>
        <v xml:space="preserve">NA                            </v>
      </c>
      <c r="Q1692">
        <v>0</v>
      </c>
      <c r="R1692">
        <v>0</v>
      </c>
      <c r="S1692">
        <v>0</v>
      </c>
      <c r="T1692">
        <v>0</v>
      </c>
      <c r="U1692">
        <v>0</v>
      </c>
      <c r="V1692">
        <v>0</v>
      </c>
      <c r="W1692">
        <v>0</v>
      </c>
      <c r="X1692">
        <v>0</v>
      </c>
      <c r="Y1692">
        <v>0</v>
      </c>
      <c r="Z1692">
        <v>0</v>
      </c>
      <c r="AA1692">
        <v>0</v>
      </c>
      <c r="AB1692">
        <v>0</v>
      </c>
      <c r="AC1692">
        <v>0</v>
      </c>
      <c r="AD1692">
        <v>0</v>
      </c>
      <c r="AE1692">
        <v>0</v>
      </c>
      <c r="AF1692">
        <v>0</v>
      </c>
      <c r="AG1692">
        <v>0</v>
      </c>
      <c r="AH1692">
        <v>0</v>
      </c>
      <c r="AI1692">
        <v>0</v>
      </c>
      <c r="AJ1692">
        <v>0</v>
      </c>
      <c r="AK1692">
        <v>0</v>
      </c>
      <c r="AL1692">
        <v>0</v>
      </c>
      <c r="AM1692">
        <v>0</v>
      </c>
      <c r="AN1692">
        <v>0</v>
      </c>
      <c r="AO1692">
        <v>0</v>
      </c>
      <c r="AP1692">
        <v>0</v>
      </c>
      <c r="AQ1692">
        <v>60.21</v>
      </c>
      <c r="AR1692">
        <v>0</v>
      </c>
      <c r="AS1692">
        <v>0</v>
      </c>
      <c r="AT1692">
        <v>0</v>
      </c>
      <c r="AU1692">
        <v>0</v>
      </c>
      <c r="AV1692">
        <v>0</v>
      </c>
      <c r="AW1692">
        <v>0</v>
      </c>
      <c r="AX1692">
        <v>0</v>
      </c>
      <c r="AY1692">
        <v>0</v>
      </c>
      <c r="AZ1692">
        <v>0</v>
      </c>
      <c r="BA1692">
        <v>0</v>
      </c>
      <c r="BB1692">
        <v>0</v>
      </c>
      <c r="BC1692">
        <v>0</v>
      </c>
      <c r="BD1692">
        <v>0</v>
      </c>
      <c r="BE1692">
        <v>0</v>
      </c>
      <c r="BF1692">
        <v>0</v>
      </c>
      <c r="BG1692">
        <v>0</v>
      </c>
      <c r="BH1692">
        <v>1</v>
      </c>
      <c r="BI1692">
        <v>14.1</v>
      </c>
      <c r="BJ1692">
        <v>18.2</v>
      </c>
      <c r="BK1692">
        <v>19</v>
      </c>
      <c r="BL1692">
        <v>185.53</v>
      </c>
      <c r="BM1692">
        <v>27.83</v>
      </c>
      <c r="BN1692">
        <v>213.36</v>
      </c>
      <c r="BO1692">
        <v>213.36</v>
      </c>
      <c r="BQ1692" t="s">
        <v>2236</v>
      </c>
      <c r="BR1692" t="s">
        <v>2237</v>
      </c>
      <c r="BS1692" t="s">
        <v>500</v>
      </c>
      <c r="BV1692" t="s">
        <v>87</v>
      </c>
      <c r="BY1692">
        <v>91090.559999999998</v>
      </c>
      <c r="BZ1692" t="s">
        <v>731</v>
      </c>
      <c r="CC1692" t="s">
        <v>459</v>
      </c>
      <c r="CD1692">
        <v>7130</v>
      </c>
      <c r="CE1692" t="s">
        <v>607</v>
      </c>
      <c r="CI1692">
        <v>1</v>
      </c>
      <c r="CJ1692" t="s">
        <v>500</v>
      </c>
      <c r="CK1692">
        <v>44</v>
      </c>
      <c r="CL1692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sdrascd7-IENOMKE130607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Adams</dc:creator>
  <cp:lastModifiedBy>Sue Adams</cp:lastModifiedBy>
  <dcterms:created xsi:type="dcterms:W3CDTF">2025-12-12T07:23:50Z</dcterms:created>
  <dcterms:modified xsi:type="dcterms:W3CDTF">2025-12-12T07:24:08Z</dcterms:modified>
</cp:coreProperties>
</file>