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uppo\Downloads\"/>
    </mc:Choice>
  </mc:AlternateContent>
  <xr:revisionPtr revIDLastSave="0" documentId="8_{5482B6B5-337A-4280-8212-75C9194970B3}" xr6:coauthVersionLast="47" xr6:coauthVersionMax="47" xr10:uidLastSave="{00000000-0000-0000-0000-000000000000}"/>
  <bookViews>
    <workbookView xWindow="28680" yWindow="-120" windowWidth="20730" windowHeight="11040" xr2:uid="{A1E12851-4ABD-4AAC-9890-42F378A1BBBC}"/>
  </bookViews>
  <sheets>
    <sheet name="sdrascd7-IENOMKE14717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41" i="1" l="1"/>
  <c r="E141" i="1"/>
  <c r="P140" i="1"/>
  <c r="E140" i="1"/>
  <c r="P139" i="1"/>
  <c r="E139" i="1"/>
  <c r="P138" i="1"/>
  <c r="E138" i="1"/>
  <c r="P137" i="1"/>
  <c r="E137" i="1"/>
  <c r="P136" i="1"/>
  <c r="E136" i="1"/>
  <c r="P135" i="1"/>
  <c r="E135" i="1"/>
  <c r="P134" i="1"/>
  <c r="E134" i="1"/>
  <c r="P133" i="1"/>
  <c r="E133" i="1"/>
  <c r="P132" i="1"/>
  <c r="E132" i="1"/>
  <c r="P131" i="1"/>
  <c r="E131" i="1"/>
  <c r="P130" i="1"/>
  <c r="E130" i="1"/>
  <c r="P129" i="1"/>
  <c r="E129" i="1"/>
  <c r="P128" i="1"/>
  <c r="E128" i="1"/>
  <c r="P127" i="1"/>
  <c r="E127" i="1"/>
  <c r="P126" i="1"/>
  <c r="E126" i="1"/>
  <c r="P125" i="1"/>
  <c r="E125" i="1"/>
  <c r="P124" i="1"/>
  <c r="E124" i="1"/>
  <c r="P123" i="1"/>
  <c r="E123" i="1"/>
  <c r="P122" i="1"/>
  <c r="E122" i="1"/>
  <c r="P121" i="1"/>
  <c r="E121" i="1"/>
  <c r="P120" i="1"/>
  <c r="E120" i="1"/>
  <c r="P119" i="1"/>
  <c r="E119" i="1"/>
  <c r="P118" i="1"/>
  <c r="E118" i="1"/>
  <c r="P117" i="1"/>
  <c r="E117" i="1"/>
  <c r="P116" i="1"/>
  <c r="E116" i="1"/>
  <c r="P115" i="1"/>
  <c r="E115" i="1"/>
  <c r="P114" i="1"/>
  <c r="E114" i="1"/>
  <c r="P113" i="1"/>
  <c r="E113" i="1"/>
  <c r="P112" i="1"/>
  <c r="E112" i="1"/>
  <c r="P111" i="1"/>
  <c r="E111" i="1"/>
  <c r="P110" i="1"/>
  <c r="E110" i="1"/>
  <c r="P109" i="1"/>
  <c r="E109" i="1"/>
  <c r="P108" i="1"/>
  <c r="E108" i="1"/>
  <c r="P107" i="1"/>
  <c r="E107" i="1"/>
  <c r="P106" i="1"/>
  <c r="E106" i="1"/>
  <c r="P105" i="1"/>
  <c r="E105" i="1"/>
  <c r="P104" i="1"/>
  <c r="E104" i="1"/>
  <c r="P103" i="1"/>
  <c r="E103" i="1"/>
  <c r="P102" i="1"/>
  <c r="E102" i="1"/>
  <c r="P101" i="1"/>
  <c r="E101" i="1"/>
  <c r="P100" i="1"/>
  <c r="E100" i="1"/>
  <c r="P99" i="1"/>
  <c r="E99" i="1"/>
  <c r="P98" i="1"/>
  <c r="E98" i="1"/>
  <c r="P97" i="1"/>
  <c r="E97" i="1"/>
  <c r="P96" i="1"/>
  <c r="E96" i="1"/>
  <c r="P95" i="1"/>
  <c r="E95" i="1"/>
  <c r="P94" i="1"/>
  <c r="E94" i="1"/>
  <c r="P93" i="1"/>
  <c r="E93" i="1"/>
  <c r="P92" i="1"/>
  <c r="E92" i="1"/>
  <c r="P91" i="1"/>
  <c r="E91" i="1"/>
  <c r="P90" i="1"/>
  <c r="E90" i="1"/>
  <c r="P89" i="1"/>
  <c r="E89" i="1"/>
  <c r="P88" i="1"/>
  <c r="E88" i="1"/>
  <c r="P87" i="1"/>
  <c r="E87" i="1"/>
  <c r="P86" i="1"/>
  <c r="E86" i="1"/>
  <c r="P85" i="1"/>
  <c r="E85" i="1"/>
  <c r="P84" i="1"/>
  <c r="E84" i="1"/>
  <c r="P83" i="1"/>
  <c r="E83" i="1"/>
  <c r="P82" i="1"/>
  <c r="E82" i="1"/>
  <c r="P81" i="1"/>
  <c r="E81" i="1"/>
  <c r="P80" i="1"/>
  <c r="E80" i="1"/>
  <c r="P79" i="1"/>
  <c r="E79" i="1"/>
  <c r="P78" i="1"/>
  <c r="E78" i="1"/>
  <c r="P77" i="1"/>
  <c r="E77" i="1"/>
  <c r="P76" i="1"/>
  <c r="E76" i="1"/>
  <c r="P75" i="1"/>
  <c r="E75" i="1"/>
  <c r="P74" i="1"/>
  <c r="E74" i="1"/>
  <c r="P73" i="1"/>
  <c r="E73" i="1"/>
  <c r="P72" i="1"/>
  <c r="E72" i="1"/>
  <c r="P71" i="1"/>
  <c r="E71" i="1"/>
  <c r="P70" i="1"/>
  <c r="E70" i="1"/>
  <c r="P69" i="1"/>
  <c r="E69" i="1"/>
  <c r="P68" i="1"/>
  <c r="E68" i="1"/>
  <c r="P67" i="1"/>
  <c r="E67" i="1"/>
  <c r="P66" i="1"/>
  <c r="E66" i="1"/>
  <c r="P65" i="1"/>
  <c r="E65" i="1"/>
  <c r="P64" i="1"/>
  <c r="E64" i="1"/>
  <c r="P63" i="1"/>
  <c r="E63" i="1"/>
  <c r="P62" i="1"/>
  <c r="E62" i="1"/>
  <c r="P61" i="1"/>
  <c r="E61" i="1"/>
  <c r="P60" i="1"/>
  <c r="E60" i="1"/>
  <c r="P59" i="1"/>
  <c r="E59" i="1"/>
  <c r="P58" i="1"/>
  <c r="E58" i="1"/>
  <c r="P57" i="1"/>
  <c r="E57" i="1"/>
  <c r="P56" i="1"/>
  <c r="E56" i="1"/>
  <c r="P55" i="1"/>
  <c r="E55" i="1"/>
  <c r="P54" i="1"/>
  <c r="E54" i="1"/>
  <c r="P53" i="1"/>
  <c r="E53" i="1"/>
  <c r="P52" i="1"/>
  <c r="E52" i="1"/>
  <c r="P51" i="1"/>
  <c r="E51" i="1"/>
  <c r="P50" i="1"/>
  <c r="E50" i="1"/>
  <c r="P49" i="1"/>
  <c r="E49" i="1"/>
  <c r="P48" i="1"/>
  <c r="E48" i="1"/>
  <c r="P47" i="1"/>
  <c r="E47" i="1"/>
  <c r="P46" i="1"/>
  <c r="E46" i="1"/>
  <c r="P45" i="1"/>
  <c r="E45" i="1"/>
  <c r="P44" i="1"/>
  <c r="E44" i="1"/>
  <c r="P43" i="1"/>
  <c r="E43" i="1"/>
  <c r="P42" i="1"/>
  <c r="E42" i="1"/>
  <c r="P41" i="1"/>
  <c r="E41" i="1"/>
  <c r="P40" i="1"/>
  <c r="E40" i="1"/>
  <c r="P39" i="1"/>
  <c r="E39" i="1"/>
  <c r="P38" i="1"/>
  <c r="E38" i="1"/>
  <c r="P37" i="1"/>
  <c r="E37" i="1"/>
  <c r="P36" i="1"/>
  <c r="E36" i="1"/>
  <c r="P35" i="1"/>
  <c r="E35" i="1"/>
  <c r="P34" i="1"/>
  <c r="E34" i="1"/>
  <c r="P33" i="1"/>
  <c r="E33" i="1"/>
  <c r="P32" i="1"/>
  <c r="E32" i="1"/>
  <c r="P31" i="1"/>
  <c r="E31" i="1"/>
  <c r="P30" i="1"/>
  <c r="E30" i="1"/>
  <c r="P29" i="1"/>
  <c r="E29" i="1"/>
  <c r="P28" i="1"/>
  <c r="E28" i="1"/>
  <c r="P27" i="1"/>
  <c r="E27" i="1"/>
  <c r="P26" i="1"/>
  <c r="E26" i="1"/>
  <c r="P25" i="1"/>
  <c r="E25" i="1"/>
  <c r="P24" i="1"/>
  <c r="E24" i="1"/>
  <c r="P23" i="1"/>
  <c r="E23" i="1"/>
  <c r="P22" i="1"/>
  <c r="E22" i="1"/>
  <c r="P21" i="1"/>
  <c r="E21" i="1"/>
  <c r="P20" i="1"/>
  <c r="E20" i="1"/>
  <c r="P19" i="1"/>
  <c r="E19" i="1"/>
  <c r="P18" i="1"/>
  <c r="E18" i="1"/>
  <c r="P17" i="1"/>
  <c r="E17" i="1"/>
  <c r="P16" i="1"/>
  <c r="E16" i="1"/>
  <c r="P15" i="1"/>
  <c r="E15" i="1"/>
  <c r="P14" i="1"/>
  <c r="E14" i="1"/>
  <c r="P13" i="1"/>
  <c r="E13" i="1"/>
  <c r="P12" i="1"/>
  <c r="E12" i="1"/>
  <c r="P11" i="1"/>
  <c r="E11" i="1"/>
  <c r="P10" i="1"/>
  <c r="E10" i="1"/>
  <c r="P9" i="1"/>
  <c r="E9" i="1"/>
  <c r="P8" i="1"/>
  <c r="E8" i="1"/>
  <c r="P7" i="1"/>
  <c r="E7" i="1"/>
  <c r="P6" i="1"/>
  <c r="E6" i="1"/>
  <c r="P5" i="1"/>
  <c r="E5" i="1"/>
  <c r="P4" i="1"/>
  <c r="E4" i="1"/>
  <c r="P3" i="1"/>
  <c r="E3" i="1"/>
  <c r="P2" i="1"/>
  <c r="E2" i="1"/>
</calcChain>
</file>

<file path=xl/sharedStrings.xml><?xml version="1.0" encoding="utf-8"?>
<sst xmlns="http://schemas.openxmlformats.org/spreadsheetml/2006/main" count="2954" uniqueCount="572">
  <si>
    <t>Acc No</t>
  </si>
  <si>
    <t>Client</t>
  </si>
  <si>
    <t>Type</t>
  </si>
  <si>
    <t>Invoice no</t>
  </si>
  <si>
    <t>Wb No</t>
  </si>
  <si>
    <t>Date</t>
  </si>
  <si>
    <t>Period</t>
  </si>
  <si>
    <t>Start</t>
  </si>
  <si>
    <t>Start Town</t>
  </si>
  <si>
    <t>Sender</t>
  </si>
  <si>
    <t>Carrier</t>
  </si>
  <si>
    <t>Dest</t>
  </si>
  <si>
    <t>Destination Town</t>
  </si>
  <si>
    <t>Receiver</t>
  </si>
  <si>
    <t>Srv</t>
  </si>
  <si>
    <t>Client Ref</t>
  </si>
  <si>
    <t>AFT</t>
  </si>
  <si>
    <t>Disc</t>
  </si>
  <si>
    <t>AMB</t>
  </si>
  <si>
    <t>BDR</t>
  </si>
  <si>
    <t>BPS</t>
  </si>
  <si>
    <t>CSH</t>
  </si>
  <si>
    <t>CTL</t>
  </si>
  <si>
    <t>DS1</t>
  </si>
  <si>
    <t>DSD</t>
  </si>
  <si>
    <t>EAR</t>
  </si>
  <si>
    <t>EMB</t>
  </si>
  <si>
    <t>FUE</t>
  </si>
  <si>
    <t>FUX</t>
  </si>
  <si>
    <t>HAZ</t>
  </si>
  <si>
    <t>HND</t>
  </si>
  <si>
    <t>IFL</t>
  </si>
  <si>
    <t>INH</t>
  </si>
  <si>
    <t>INS</t>
  </si>
  <si>
    <t>LTE</t>
  </si>
  <si>
    <t>NDC</t>
  </si>
  <si>
    <t>OUT</t>
  </si>
  <si>
    <t>RTL</t>
  </si>
  <si>
    <t>Other Charges</t>
  </si>
  <si>
    <t>Prcls</t>
  </si>
  <si>
    <t>Tot KG</t>
  </si>
  <si>
    <t>Tot Vol</t>
  </si>
  <si>
    <t>Mass</t>
  </si>
  <si>
    <t>Amount</t>
  </si>
  <si>
    <t>Vat</t>
  </si>
  <si>
    <t>Total</t>
  </si>
  <si>
    <t>Outstand</t>
  </si>
  <si>
    <t>Special Instructions</t>
  </si>
  <si>
    <t>Consignee Contact</t>
  </si>
  <si>
    <t>Sender Contact</t>
  </si>
  <si>
    <t>POD Date</t>
  </si>
  <si>
    <t>POD Time</t>
  </si>
  <si>
    <t>POD Name</t>
  </si>
  <si>
    <t>STD POD</t>
  </si>
  <si>
    <t>Reason</t>
  </si>
  <si>
    <t>Reason Captured</t>
  </si>
  <si>
    <t>Total Vol Mass</t>
  </si>
  <si>
    <t>Options</t>
  </si>
  <si>
    <t>POD Comments</t>
  </si>
  <si>
    <t>X-Option</t>
  </si>
  <si>
    <t>Dest Town</t>
  </si>
  <si>
    <t>Dest Postal Code</t>
  </si>
  <si>
    <t>Description of Contents</t>
  </si>
  <si>
    <t>POD Scan Date</t>
  </si>
  <si>
    <t>Status</t>
  </si>
  <si>
    <t>MF Comments</t>
  </si>
  <si>
    <t>Actual Days</t>
  </si>
  <si>
    <t>Agreed Days</t>
  </si>
  <si>
    <t>Rate</t>
  </si>
  <si>
    <t>Early Delivery</t>
  </si>
  <si>
    <t>Early Delivery Time</t>
  </si>
  <si>
    <t>MA Info</t>
  </si>
  <si>
    <t>J17991</t>
  </si>
  <si>
    <t xml:space="preserve">MOVE ANALYTICS CC - ADMIN          </t>
  </si>
  <si>
    <t>WAY</t>
  </si>
  <si>
    <t>DURBA</t>
  </si>
  <si>
    <t>DURBAN</t>
  </si>
  <si>
    <t xml:space="preserve">NATIONAL BRAND LTD-TEA DEPT        </t>
  </si>
  <si>
    <t xml:space="preserve">                                   </t>
  </si>
  <si>
    <t>JOHAN</t>
  </si>
  <si>
    <t>JOHANNESBURG</t>
  </si>
  <si>
    <t xml:space="preserve">NATIONAL BRANDS LTD                </t>
  </si>
  <si>
    <t>ON1</t>
  </si>
  <si>
    <t>RATI MANEHIDI</t>
  </si>
  <si>
    <t>SINENHLANHLA XIMBA</t>
  </si>
  <si>
    <t>zipho</t>
  </si>
  <si>
    <t>yes</t>
  </si>
  <si>
    <t>FUE / DOC</t>
  </si>
  <si>
    <t>PARCEL</t>
  </si>
  <si>
    <t>no</t>
  </si>
  <si>
    <t xml:space="preserve">AVI                                </t>
  </si>
  <si>
    <t xml:space="preserve">CONSTANTIA FLEX                    </t>
  </si>
  <si>
    <t>ZINHLE</t>
  </si>
  <si>
    <t>DINEO</t>
  </si>
  <si>
    <t>Simore</t>
  </si>
  <si>
    <t>POD received from cell 0671865619 M</t>
  </si>
  <si>
    <t>CAPET</t>
  </si>
  <si>
    <t>CAPE TOWN</t>
  </si>
  <si>
    <t xml:space="preserve">AVI FIELD MARKETING                </t>
  </si>
  <si>
    <t>KEMPT</t>
  </si>
  <si>
    <t>KEMPTON PARK</t>
  </si>
  <si>
    <t>DBC</t>
  </si>
  <si>
    <t>NONHLANHLA</t>
  </si>
  <si>
    <t>CANDICE</t>
  </si>
  <si>
    <t>Jane</t>
  </si>
  <si>
    <t>FUE / doc</t>
  </si>
  <si>
    <t>POD received from cell 0823636526 M</t>
  </si>
  <si>
    <t xml:space="preserve">Consumer Goods Council             </t>
  </si>
  <si>
    <t xml:space="preserve">INDIGO BRANDS                      </t>
  </si>
  <si>
    <t>Collection by 3PM - National Brands Cards CRM 0169299</t>
  </si>
  <si>
    <t>CANDICE MURISON</t>
  </si>
  <si>
    <t>Cynthia</t>
  </si>
  <si>
    <t>Mavokwana</t>
  </si>
  <si>
    <t>Missed cutoff</t>
  </si>
  <si>
    <t>TAJ</t>
  </si>
  <si>
    <t>POD received from cell 0659386993 M</t>
  </si>
  <si>
    <t xml:space="preserve">Indigo Brands                      </t>
  </si>
  <si>
    <t xml:space="preserve">AVI NATIONAL BRANDS                </t>
  </si>
  <si>
    <t>Sebastian Peters</t>
  </si>
  <si>
    <t>Dale</t>
  </si>
  <si>
    <t>Michael</t>
  </si>
  <si>
    <t>POD received from cell 0606555504 M</t>
  </si>
  <si>
    <t>j17991</t>
  </si>
  <si>
    <t>GEORG</t>
  </si>
  <si>
    <t>GEORGE</t>
  </si>
  <si>
    <t xml:space="preserve">AVI FM                             </t>
  </si>
  <si>
    <t>PORT3</t>
  </si>
  <si>
    <t>PORT ELIZABETH</t>
  </si>
  <si>
    <t>ON2</t>
  </si>
  <si>
    <t>CHANTEL MYBERG</t>
  </si>
  <si>
    <t>R VAN WYK</t>
  </si>
  <si>
    <t>Chantel</t>
  </si>
  <si>
    <t>Late Linehaul Delayed Beyond Skynet Control</t>
  </si>
  <si>
    <t>uat</t>
  </si>
  <si>
    <t>POD received from cell 0814739791 M</t>
  </si>
  <si>
    <t xml:space="preserve">INDIGO COSMETICS W-CAPE            </t>
  </si>
  <si>
    <t>HALL</t>
  </si>
  <si>
    <t>ROMONA</t>
  </si>
  <si>
    <t xml:space="preserve">BEC W-CAPE                         </t>
  </si>
  <si>
    <t>ESTER</t>
  </si>
  <si>
    <t>ANGEL</t>
  </si>
  <si>
    <t>Juanita</t>
  </si>
  <si>
    <t>POD received from cell 0761265903 M</t>
  </si>
  <si>
    <t xml:space="preserve">PRIONTEX                           </t>
  </si>
  <si>
    <t>MOSSE</t>
  </si>
  <si>
    <t>MOSSEL BAY</t>
  </si>
  <si>
    <t xml:space="preserve">LIFE HEALTHCARE BAYVIEW            </t>
  </si>
  <si>
    <t>.</t>
  </si>
  <si>
    <t>ABDUL</t>
  </si>
  <si>
    <t>MADELEINE</t>
  </si>
  <si>
    <t>KNYSN</t>
  </si>
  <si>
    <t>KNYSNA</t>
  </si>
  <si>
    <t xml:space="preserve">ADVANCED KNYSNA                    </t>
  </si>
  <si>
    <t>L Raunique</t>
  </si>
  <si>
    <t>POD received from cell 0651236227 M</t>
  </si>
  <si>
    <t>MIDRA</t>
  </si>
  <si>
    <t>MIDRAND</t>
  </si>
  <si>
    <t>REHAB CT</t>
  </si>
  <si>
    <t>thulani</t>
  </si>
  <si>
    <t>POD received from cell 0833616148 M</t>
  </si>
  <si>
    <t xml:space="preserve">CIRO BEVERAGE SOL P.E              </t>
  </si>
  <si>
    <t>BRUCE</t>
  </si>
  <si>
    <t>THABO</t>
  </si>
  <si>
    <t>bruce</t>
  </si>
  <si>
    <t>POD received from cell 0699631211 M</t>
  </si>
  <si>
    <t xml:space="preserve">MICROCHEM LAB                      </t>
  </si>
  <si>
    <t>asheeq</t>
  </si>
  <si>
    <t xml:space="preserve">SWIFT LAB                          </t>
  </si>
  <si>
    <t>nabeelah</t>
  </si>
  <si>
    <t>POD received from cell 0749349281 M</t>
  </si>
  <si>
    <t>WHITE</t>
  </si>
  <si>
    <t>WHITE RIVER</t>
  </si>
  <si>
    <t xml:space="preserve">AVI FIELDMARKETING                 </t>
  </si>
  <si>
    <t xml:space="preserve">AVI F M                            </t>
  </si>
  <si>
    <t>MIKE</t>
  </si>
  <si>
    <t xml:space="preserve">PARCEL                                            </t>
  </si>
  <si>
    <t>EAST</t>
  </si>
  <si>
    <t>EAST LONDON</t>
  </si>
  <si>
    <t xml:space="preserve">avi fieldmarketing                 </t>
  </si>
  <si>
    <t xml:space="preserve">avi field marketing                </t>
  </si>
  <si>
    <t>chantel</t>
  </si>
  <si>
    <t>warren</t>
  </si>
  <si>
    <t>Chad</t>
  </si>
  <si>
    <t xml:space="preserve">MUCROCHEM                          </t>
  </si>
  <si>
    <t>ADAM REYNARD</t>
  </si>
  <si>
    <t>MBULELO RAMALATA</t>
  </si>
  <si>
    <t>asheeqa</t>
  </si>
  <si>
    <t>PINET</t>
  </si>
  <si>
    <t>PINETOWN</t>
  </si>
  <si>
    <t xml:space="preserve">NATIONAL BRANDS LTD WESTMEAD       </t>
  </si>
  <si>
    <t>WINSTON VEENASAMY</t>
  </si>
  <si>
    <t>MARLON</t>
  </si>
  <si>
    <t>kiroshe</t>
  </si>
  <si>
    <t xml:space="preserve">NATIONAL BRANDS LTD DURBAN         </t>
  </si>
  <si>
    <t>YOGAN MOODLEY</t>
  </si>
  <si>
    <t>PETERS</t>
  </si>
  <si>
    <t>goodness</t>
  </si>
  <si>
    <t>POD received from cell 0797318730 M</t>
  </si>
  <si>
    <t xml:space="preserve">Priontex                           </t>
  </si>
  <si>
    <t>SHAMIL BEGG</t>
  </si>
  <si>
    <t>Mulalo</t>
  </si>
  <si>
    <t>Evelyn</t>
  </si>
  <si>
    <t>POD received from cell 0792230061 M</t>
  </si>
  <si>
    <t>GRIFFITS NGOBESE</t>
  </si>
  <si>
    <t>LERATO</t>
  </si>
  <si>
    <t>Kiroshe</t>
  </si>
  <si>
    <t>CALLANT</t>
  </si>
  <si>
    <t>Silayi</t>
  </si>
  <si>
    <t xml:space="preserve">I AND J HOUSE W-CAPE               </t>
  </si>
  <si>
    <t>OVERNIGHT EXP BY 10H30</t>
  </si>
  <si>
    <t>NDLUL SIYOLO</t>
  </si>
  <si>
    <t>LERATO NOLO</t>
  </si>
  <si>
    <t>Nelly</t>
  </si>
  <si>
    <t>POD received from cell 0633442020 M</t>
  </si>
  <si>
    <t xml:space="preserve">I AND J TABLE BAY HARBOUR          </t>
  </si>
  <si>
    <t>ASHLEIGH</t>
  </si>
  <si>
    <t>MORGAN</t>
  </si>
  <si>
    <t>ANDAAN</t>
  </si>
  <si>
    <t>CLIVE JONES</t>
  </si>
  <si>
    <t>THEMBELIHLE</t>
  </si>
  <si>
    <t>m mthembu</t>
  </si>
  <si>
    <t>lev</t>
  </si>
  <si>
    <t>PIET2</t>
  </si>
  <si>
    <t>PIETERSBURG</t>
  </si>
  <si>
    <t>PRETO</t>
  </si>
  <si>
    <t>PRETORIA</t>
  </si>
  <si>
    <t xml:space="preserve">AVI FIELD MARKETIG                 </t>
  </si>
  <si>
    <t>APHIWE</t>
  </si>
  <si>
    <t>CHRIS</t>
  </si>
  <si>
    <t>0200</t>
  </si>
  <si>
    <t xml:space="preserve">NATIONAL BRANDS LTD-DURBAN         </t>
  </si>
  <si>
    <t>OVERNIGHT EXP BY10H30</t>
  </si>
  <si>
    <t>GERALD GOVENDER</t>
  </si>
  <si>
    <t>KATLEWGO MASEBO</t>
  </si>
  <si>
    <t xml:space="preserve">SHAVE   GIBSON                     </t>
  </si>
  <si>
    <t>DESI MOODLEY</t>
  </si>
  <si>
    <t>lindi</t>
  </si>
  <si>
    <t>ntm</t>
  </si>
  <si>
    <t>POD received from cell 0672223699 M</t>
  </si>
  <si>
    <t xml:space="preserve">PRIONTEX MICROCLEM                 </t>
  </si>
  <si>
    <t>REASON HLAFSHWAGO</t>
  </si>
  <si>
    <t>ABDUL GHAALIEB PAASEN</t>
  </si>
  <si>
    <t>sylvia</t>
  </si>
  <si>
    <t>REHAB</t>
  </si>
  <si>
    <t>alista</t>
  </si>
  <si>
    <t>DOC / FUE</t>
  </si>
  <si>
    <t xml:space="preserve">PRIONTEX PE                        </t>
  </si>
  <si>
    <t xml:space="preserve">PRIONTEX CAPE                      </t>
  </si>
  <si>
    <t>SHAMIL</t>
  </si>
  <si>
    <t>JACQUES VILJOEN</t>
  </si>
  <si>
    <t xml:space="preserve">EMMAY CONNELITIES SA               </t>
  </si>
  <si>
    <t>RIYAS MUHAMMED</t>
  </si>
  <si>
    <t>FRIKICIO VAN NIEKERK</t>
  </si>
  <si>
    <t>Yevaan</t>
  </si>
  <si>
    <t>JUH</t>
  </si>
  <si>
    <t>POD received from cell 0612301350 M</t>
  </si>
  <si>
    <t>MARESHINI MOODLEY</t>
  </si>
  <si>
    <t>EAR / FUE / DOC</t>
  </si>
  <si>
    <t xml:space="preserve">SHAVE AND GIBSON                   </t>
  </si>
  <si>
    <t>MOODLEY</t>
  </si>
  <si>
    <t>UMHLA</t>
  </si>
  <si>
    <t>UMHLANGA ROCKS</t>
  </si>
  <si>
    <t xml:space="preserve">SIYAKHA IMPERIAL PRINTING CO       </t>
  </si>
  <si>
    <t>EUGENE CHETTY</t>
  </si>
  <si>
    <t>erika</t>
  </si>
  <si>
    <t>POD received from cell 0844020000 M</t>
  </si>
  <si>
    <t xml:space="preserve">JACK AKERS                         </t>
  </si>
  <si>
    <t>NA</t>
  </si>
  <si>
    <t>GARNOT</t>
  </si>
  <si>
    <t>Johan</t>
  </si>
  <si>
    <t xml:space="preserve">PEP AFRICA                         </t>
  </si>
  <si>
    <t>MICHELLE TANDY</t>
  </si>
  <si>
    <t>GARNOT GOBRIELS</t>
  </si>
  <si>
    <t>valetino</t>
  </si>
  <si>
    <t>POD received from cell 0652659465 M</t>
  </si>
  <si>
    <t>LERINA</t>
  </si>
  <si>
    <t xml:space="preserve">FLEX                               </t>
  </si>
  <si>
    <t>J.FORSTER</t>
  </si>
  <si>
    <t>simore</t>
  </si>
  <si>
    <t>MAGS PILLAY</t>
  </si>
  <si>
    <t>ABDUL GHAALIEB FAASEN</t>
  </si>
  <si>
    <t>pume</t>
  </si>
  <si>
    <t xml:space="preserve">NATIONAL BRANDS LTD TEA            </t>
  </si>
  <si>
    <t xml:space="preserve">BAKERS                             </t>
  </si>
  <si>
    <t>MARCIA NAIDOO</t>
  </si>
  <si>
    <t>THEMBELIHLE DHLAMINI</t>
  </si>
  <si>
    <t>relly</t>
  </si>
  <si>
    <t>POD received from cell 0714971272 M</t>
  </si>
  <si>
    <t xml:space="preserve">Ciro                               </t>
  </si>
  <si>
    <t>Temba Dike</t>
  </si>
  <si>
    <t>Rodney</t>
  </si>
  <si>
    <t>tshephiso</t>
  </si>
  <si>
    <t>POD received from cell 0780568122 M</t>
  </si>
  <si>
    <t xml:space="preserve">NATIONAL BRANDS                    </t>
  </si>
  <si>
    <t>Romona KKirsten</t>
  </si>
  <si>
    <t>Winston Veerasamy</t>
  </si>
  <si>
    <t>methembe</t>
  </si>
  <si>
    <t xml:space="preserve">AVI HEAD OFFICE                    </t>
  </si>
  <si>
    <t>DINEO MASHIANE</t>
  </si>
  <si>
    <t>GRIFFITHS NGOBESE</t>
  </si>
  <si>
    <t>KIROSHA PURSHOTAM</t>
  </si>
  <si>
    <t>RUYI LYER</t>
  </si>
  <si>
    <t>BLOE1</t>
  </si>
  <si>
    <t>BLOEMFONTEIN</t>
  </si>
  <si>
    <t xml:space="preserve">NATIONAL BRANDS LTD-BLM            </t>
  </si>
  <si>
    <t>NEVILLE RUDMAN</t>
  </si>
  <si>
    <t>Genelieve</t>
  </si>
  <si>
    <t>POD received from cell 0720642156 M</t>
  </si>
  <si>
    <t xml:space="preserve">AVI FIELD MATKETING INLAND WES     </t>
  </si>
  <si>
    <t xml:space="preserve">AVI FIELD MARKETING FREE STATE     </t>
  </si>
  <si>
    <t>COST CENTER 11902270FM</t>
  </si>
  <si>
    <t>GAILENE BARGMAN</t>
  </si>
  <si>
    <t>N GAMA</t>
  </si>
  <si>
    <t xml:space="preserve">I   J HOUSE-W-CAPE                 </t>
  </si>
  <si>
    <t>NOLU SIYOLO</t>
  </si>
  <si>
    <t xml:space="preserve">I   J TABLE BAY HARBOUR            </t>
  </si>
  <si>
    <t>ASHLEIGH JOSEPHS</t>
  </si>
  <si>
    <t>LUNGI</t>
  </si>
  <si>
    <t>OVERNIGHT EXP</t>
  </si>
  <si>
    <t>MARLON MANUEL</t>
  </si>
  <si>
    <t>POD received from cell 0682690407 M</t>
  </si>
  <si>
    <t xml:space="preserve">I  J TABLE BAY HARBOUR             </t>
  </si>
  <si>
    <t>BUDGET CARGO</t>
  </si>
  <si>
    <t>tandie</t>
  </si>
  <si>
    <t xml:space="preserve">PRIONTEX JBG                       </t>
  </si>
  <si>
    <t>HANDLE WITH CARE EXTREMELY FRAGILE</t>
  </si>
  <si>
    <t>Pfano Nemavhulani</t>
  </si>
  <si>
    <t>jam</t>
  </si>
  <si>
    <t xml:space="preserve">SAVP                               </t>
  </si>
  <si>
    <t>Simon Machaba</t>
  </si>
  <si>
    <t>chante</t>
  </si>
  <si>
    <t xml:space="preserve">Entyce Tea                         </t>
  </si>
  <si>
    <t>RANDB</t>
  </si>
  <si>
    <t>RANDBURG</t>
  </si>
  <si>
    <t xml:space="preserve">Michael Wood                       </t>
  </si>
  <si>
    <t>Michael Wood</t>
  </si>
  <si>
    <t>Luyanda Mkize</t>
  </si>
  <si>
    <t>michaela</t>
  </si>
  <si>
    <t>POD received from cell 0697385380 M</t>
  </si>
  <si>
    <t xml:space="preserve">ENTYCE TEA                         </t>
  </si>
  <si>
    <t xml:space="preserve">VAR DEST                           </t>
  </si>
  <si>
    <t>SINE XIMBA</t>
  </si>
  <si>
    <t>jeslyn</t>
  </si>
  <si>
    <t>POD received from cell 0719539417 M</t>
  </si>
  <si>
    <t xml:space="preserve">PACKAGING WORLD                    </t>
  </si>
  <si>
    <t>LIZELLE</t>
  </si>
  <si>
    <t>noluthando</t>
  </si>
  <si>
    <t xml:space="preserve">NATIONAL BRANDS EM-PE              </t>
  </si>
  <si>
    <t>KARLIEN JACOB</t>
  </si>
  <si>
    <t>ROMONA KIRSTEN</t>
  </si>
  <si>
    <t xml:space="preserve">GRAPHIC BALLROOM                   </t>
  </si>
  <si>
    <t>OVERNIGHT EXP BY 13H00</t>
  </si>
  <si>
    <t>KYLA DOS SANTOS</t>
  </si>
  <si>
    <t>RATI MMICHIDI</t>
  </si>
  <si>
    <t>Kyla</t>
  </si>
  <si>
    <t>POD received from cell 0813552012 M</t>
  </si>
  <si>
    <t>HOWIC</t>
  </si>
  <si>
    <t>HOWICK</t>
  </si>
  <si>
    <t xml:space="preserve">MOVELOWTH                          </t>
  </si>
  <si>
    <t xml:space="preserve">STAISS   LO  BRICKFLUID            </t>
  </si>
  <si>
    <t>BRYON</t>
  </si>
  <si>
    <t>Hareem</t>
  </si>
  <si>
    <t>jlc</t>
  </si>
  <si>
    <t xml:space="preserve">NATIONAL BRANDS LIMITED            </t>
  </si>
  <si>
    <t>RATI MARCHIDI</t>
  </si>
  <si>
    <t>CLIVE</t>
  </si>
  <si>
    <t>Lungi</t>
  </si>
  <si>
    <t xml:space="preserve">NATIONAL BRANDS LTD - DURBAN       </t>
  </si>
  <si>
    <t>phumeza</t>
  </si>
  <si>
    <t>GERMI</t>
  </si>
  <si>
    <t>GERMISTON</t>
  </si>
  <si>
    <t xml:space="preserve">VENTURE PLASTICS                   </t>
  </si>
  <si>
    <t>STRAN</t>
  </si>
  <si>
    <t>STRAND</t>
  </si>
  <si>
    <t xml:space="preserve">RHEINMETALL DENEL NU               </t>
  </si>
  <si>
    <t>SDX</t>
  </si>
  <si>
    <t>**SDX**PLS DEL BY 15-10-25 @ 08H30*ATT:LEEMESHEN NAIDOO-0826</t>
  </si>
  <si>
    <t>CLIFFORD SINGER</t>
  </si>
  <si>
    <t>l naido</t>
  </si>
  <si>
    <t>DSD / doc / DOC / FUE / INS</t>
  </si>
  <si>
    <t xml:space="preserve">I J RECEPTION-  AVI ITSS           </t>
  </si>
  <si>
    <t xml:space="preserve">Ciiro                              </t>
  </si>
  <si>
    <t>DRIVER TO CALL TEMBA DIKE 0718481066</t>
  </si>
  <si>
    <t>TEMBA DIIKE</t>
  </si>
  <si>
    <t>LUDI OR RECEPTION MORGAN</t>
  </si>
  <si>
    <t>themba</t>
  </si>
  <si>
    <t>NELSP</t>
  </si>
  <si>
    <t>NELSPRUIT</t>
  </si>
  <si>
    <t xml:space="preserve">Dr ND Sithole                      </t>
  </si>
  <si>
    <t>Dr ND Sithhole</t>
  </si>
  <si>
    <t>Annelize</t>
  </si>
  <si>
    <t xml:space="preserve">gugu                          </t>
  </si>
  <si>
    <t xml:space="preserve">POD received from cell 0760162059 M     </t>
  </si>
  <si>
    <t>PONGO</t>
  </si>
  <si>
    <t>PONGOLA</t>
  </si>
  <si>
    <t xml:space="preserve">Ceza Hospital Stores               </t>
  </si>
  <si>
    <t>Driver to deliver to Stores Department</t>
  </si>
  <si>
    <t>Masondo</t>
  </si>
  <si>
    <t>G Masondo</t>
  </si>
  <si>
    <t>HND / FUE / doc</t>
  </si>
  <si>
    <t>POD received from cell 0762223642 M</t>
  </si>
  <si>
    <t xml:space="preserve">CIRO BEVERAGE SOLUTIONS KZN        </t>
  </si>
  <si>
    <t>OVRNIGHT EXP</t>
  </si>
  <si>
    <t>LINTON PILLAY</t>
  </si>
  <si>
    <t>THABO MAKHUBELE</t>
  </si>
  <si>
    <t>Amanda</t>
  </si>
  <si>
    <t>LEV</t>
  </si>
  <si>
    <t xml:space="preserve">CNSTANTIA FLEX                     </t>
  </si>
  <si>
    <t>ZINHLE JANET GEORGE</t>
  </si>
  <si>
    <t>panessa</t>
  </si>
  <si>
    <t>THEMBELIHLE NDLOVU</t>
  </si>
  <si>
    <t>fiona</t>
  </si>
  <si>
    <t>RICHA</t>
  </si>
  <si>
    <t>RICHARDS BAY</t>
  </si>
  <si>
    <t xml:space="preserve">PRIVATE                            </t>
  </si>
  <si>
    <t>COLLEN</t>
  </si>
  <si>
    <t>LOGAN MOODLEY</t>
  </si>
  <si>
    <t>melody</t>
  </si>
  <si>
    <t>POD received from cell 0795550703 M</t>
  </si>
  <si>
    <t xml:space="preserve">BEC W-CAPE FOODZONE                </t>
  </si>
  <si>
    <t>ESTER LE ROUX</t>
  </si>
  <si>
    <t>ANGEL MAKHUBO</t>
  </si>
  <si>
    <t xml:space="preserve">AVI NATIONAL BRANDS LTD            </t>
  </si>
  <si>
    <t>clive</t>
  </si>
  <si>
    <t xml:space="preserve">Sanjmed Medicla Distributions      </t>
  </si>
  <si>
    <t>Shireen</t>
  </si>
  <si>
    <t>Adul</t>
  </si>
  <si>
    <t xml:space="preserve">National Brands LTD-TE DEPT        </t>
  </si>
  <si>
    <t xml:space="preserve">Tea Portfolio - Bryanston          </t>
  </si>
  <si>
    <t>Rati Manchidi</t>
  </si>
  <si>
    <t>Sine Ximba</t>
  </si>
  <si>
    <t xml:space="preserve">CIRO                               </t>
  </si>
  <si>
    <t>JOHANNA</t>
  </si>
  <si>
    <t>CLIVE JONOS</t>
  </si>
  <si>
    <t>BOTSHELO</t>
  </si>
  <si>
    <t>THANDI</t>
  </si>
  <si>
    <t xml:space="preserve">IDEC                               </t>
  </si>
  <si>
    <t>KATE BHANUSHA</t>
  </si>
  <si>
    <t>zandile</t>
  </si>
  <si>
    <t>POD received from cell 0658550146 M</t>
  </si>
  <si>
    <t>WINSTON</t>
  </si>
  <si>
    <t>THEMBA</t>
  </si>
  <si>
    <t xml:space="preserve">MICROCHEM                          </t>
  </si>
  <si>
    <t>**SDX**ATT:ASAVELA LAZAM-0214659967**</t>
  </si>
  <si>
    <t>0214656996</t>
  </si>
  <si>
    <t>MOREMI</t>
  </si>
  <si>
    <t>zikhano</t>
  </si>
  <si>
    <t>DSD / FUE / doc</t>
  </si>
  <si>
    <t>Lesley Nxumalo</t>
  </si>
  <si>
    <t>nathaniel</t>
  </si>
  <si>
    <t>Marlon Manuel</t>
  </si>
  <si>
    <t>Rodney Norman</t>
  </si>
  <si>
    <t xml:space="preserve">AMAZON COMMERCIAL SERVICE          </t>
  </si>
  <si>
    <t>TSOTESTSI LESEDI</t>
  </si>
  <si>
    <t>MICHAELA</t>
  </si>
  <si>
    <t>Consignee not available)</t>
  </si>
  <si>
    <t>J FORSTER RIKESH</t>
  </si>
  <si>
    <t xml:space="preserve">I J TABLE BAY HARBOUR              </t>
  </si>
  <si>
    <t>DALE FEBRUARY</t>
  </si>
  <si>
    <t>ROUW</t>
  </si>
  <si>
    <t>Morgan</t>
  </si>
  <si>
    <t xml:space="preserve">ENTYCE BEVARAGES - NATIONAL BR     </t>
  </si>
  <si>
    <t>MOREMI MOLEPO</t>
  </si>
  <si>
    <t>LAZARN</t>
  </si>
  <si>
    <t xml:space="preserve">Fiona                         </t>
  </si>
  <si>
    <t xml:space="preserve">POD received from cell 0682690407 M     </t>
  </si>
  <si>
    <t xml:space="preserve">HOUSE                              </t>
  </si>
  <si>
    <t>RICHARD</t>
  </si>
  <si>
    <t>HEIDI</t>
  </si>
  <si>
    <t>richard</t>
  </si>
  <si>
    <t xml:space="preserve">CIRO BEVERAGE SOL W-CAPE           </t>
  </si>
  <si>
    <t>ANTHONY</t>
  </si>
  <si>
    <t>Returned to sender on waybill</t>
  </si>
  <si>
    <t>Returned to sender on waybill number R00</t>
  </si>
  <si>
    <t xml:space="preserve">Steven Wilkins                     </t>
  </si>
  <si>
    <t xml:space="preserve">EBONY CURATED                      </t>
  </si>
  <si>
    <t>Driver to take Fragile Stickers to the collection for the boxes Please</t>
  </si>
  <si>
    <t>Dewald Prinsloo</t>
  </si>
  <si>
    <t>Steven Wilkins</t>
  </si>
  <si>
    <t>CHRISTINA</t>
  </si>
  <si>
    <t>TERINA SAYANNO</t>
  </si>
  <si>
    <t>nadia</t>
  </si>
  <si>
    <t>col</t>
  </si>
  <si>
    <t>claudia</t>
  </si>
  <si>
    <t xml:space="preserve">AVI FIED MARKETING                 </t>
  </si>
  <si>
    <t>CLEO</t>
  </si>
  <si>
    <t>LUCKY</t>
  </si>
  <si>
    <t>Mpho</t>
  </si>
  <si>
    <t xml:space="preserve">NELSPRUIT MEDICLINIC               </t>
  </si>
  <si>
    <t>ENRICA DU TOIT</t>
  </si>
  <si>
    <t>sibusiso</t>
  </si>
  <si>
    <t>POD received from cell 0647756476 M</t>
  </si>
  <si>
    <t>LUNGIE</t>
  </si>
  <si>
    <t>MOHAPI</t>
  </si>
  <si>
    <t>Fiona</t>
  </si>
  <si>
    <t>raisha</t>
  </si>
  <si>
    <t>Driver late</t>
  </si>
  <si>
    <t>POD received from cell 0843672221 M</t>
  </si>
  <si>
    <t xml:space="preserve">NATIONAL BRANDS LTD-WESTMEAD       </t>
  </si>
  <si>
    <t>TERINO SAYANNA NADIA</t>
  </si>
  <si>
    <t xml:space="preserve">NATIONAL BRANDS FM-PE              </t>
  </si>
  <si>
    <t>KARTIEN JACOBS</t>
  </si>
  <si>
    <t>ROMONA KISTEN</t>
  </si>
  <si>
    <t>charter</t>
  </si>
  <si>
    <t>SIYAKHA EUGENE CHETTY</t>
  </si>
  <si>
    <t>DINEO MASHIANEA</t>
  </si>
  <si>
    <t xml:space="preserve">: National Brands Limited Enty     </t>
  </si>
  <si>
    <t xml:space="preserve">Trade Marketing Manager   Tea      </t>
  </si>
  <si>
    <t>Rahab</t>
  </si>
  <si>
    <t xml:space="preserve">NATIONAL BRANDS LTD-TEA DEPT       </t>
  </si>
  <si>
    <t>RATI MANCHIDI</t>
  </si>
  <si>
    <t>Sinenhlanhla</t>
  </si>
  <si>
    <t>POD received from cell 0737168659 M</t>
  </si>
  <si>
    <t xml:space="preserve">NATIONAL BRANDS LTD-REDHILL        </t>
  </si>
  <si>
    <t>LOUISE VIERRU</t>
  </si>
  <si>
    <t>KERSHNEE MOODLEY</t>
  </si>
  <si>
    <t>l vieira</t>
  </si>
  <si>
    <t>POD received from cell 0628764486 M</t>
  </si>
  <si>
    <t>WINSTON VEERASAMY</t>
  </si>
  <si>
    <t>COL</t>
  </si>
  <si>
    <t xml:space="preserve">SHAVE   GIBSON PACKAGING           </t>
  </si>
  <si>
    <t>DESI MOODLEY + BARRY</t>
  </si>
  <si>
    <t xml:space="preserve">INDIGO COSMETICS                   </t>
  </si>
  <si>
    <t>ANTHONY LEVENDELL</t>
  </si>
  <si>
    <t>Khayise</t>
  </si>
  <si>
    <t>OVERNIGHT EXP BY...</t>
  </si>
  <si>
    <t>L MOELICH</t>
  </si>
  <si>
    <t>SENATO MOHALO</t>
  </si>
  <si>
    <t>THABO MAKHUBELO</t>
  </si>
  <si>
    <t>Gailene</t>
  </si>
  <si>
    <t>the</t>
  </si>
  <si>
    <t>ADELO DE WET</t>
  </si>
  <si>
    <t>KERSHNIE MOODLEY</t>
  </si>
  <si>
    <t xml:space="preserve">ALL DOM LOVES                      </t>
  </si>
  <si>
    <t>OVERNIGHT EXP BY</t>
  </si>
  <si>
    <t>DOMINIQUE WEBB</t>
  </si>
  <si>
    <t>CARL GELDENHUYS</t>
  </si>
  <si>
    <t>Happiness</t>
  </si>
  <si>
    <t>DOC / FUE / INS</t>
  </si>
  <si>
    <t>ZINTLE GEORGE</t>
  </si>
  <si>
    <t>?</t>
  </si>
  <si>
    <t>zanele</t>
  </si>
  <si>
    <t>EUGENE</t>
  </si>
  <si>
    <t>Zia</t>
  </si>
  <si>
    <t xml:space="preserve">Sanjmed Medical Distributions      </t>
  </si>
  <si>
    <t>Abdul</t>
  </si>
  <si>
    <t>RATI</t>
  </si>
  <si>
    <t>ASHLEY</t>
  </si>
  <si>
    <t xml:space="preserve">Chantel                       </t>
  </si>
  <si>
    <t xml:space="preserve">POD received from cell 0699631211 M     </t>
  </si>
  <si>
    <t>BOTSHELO M</t>
  </si>
  <si>
    <t xml:space="preserve">NATIONAL BRANDS LTD REDHILL        </t>
  </si>
  <si>
    <t>DERRICK</t>
  </si>
  <si>
    <t>MANCHIDI</t>
  </si>
  <si>
    <t>derrick</t>
  </si>
  <si>
    <t>DESI</t>
  </si>
  <si>
    <t xml:space="preserve">INDIGO COSMETICS-W CAPE            </t>
  </si>
  <si>
    <t>OVERNIGHT EXP-EARLY BIRD@8H30</t>
  </si>
  <si>
    <t>BERBARD PRETORIUS</t>
  </si>
  <si>
    <t>RAYI MANCHIDI</t>
  </si>
  <si>
    <t>m msisi</t>
  </si>
  <si>
    <t xml:space="preserve">NATIONAL BRANDS LTD BLM            </t>
  </si>
  <si>
    <t xml:space="preserve">CIRO BEVERAGE SOLUTIONS-W CAPE     </t>
  </si>
  <si>
    <t>ANTHONY LEVENDALL</t>
  </si>
  <si>
    <t xml:space="preserve">HENTIES - CIRO DC                  </t>
  </si>
  <si>
    <t>Collect from Reception</t>
  </si>
  <si>
    <t>Lester Spies</t>
  </si>
  <si>
    <t>THEMBELIHLE NDHLOVU</t>
  </si>
  <si>
    <t>EUGENE CLAUDETTE CHETTY</t>
  </si>
  <si>
    <t>LOUISA VIEIRA ASHBERR</t>
  </si>
  <si>
    <t>CHANTEL MYBURGH CHRISTOPHER</t>
  </si>
  <si>
    <t>Karlien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</si>
</sst>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5"/>
      <color rgb="FF33333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medium">
        <color rgb="FFDDDDDD"/>
      </left>
      <right/>
      <top style="medium">
        <color rgb="FFDDDDDD"/>
      </top>
      <bottom style="medium">
        <color rgb="FFDDDDDD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14" fontId="0" fillId="0" borderId="0" xfId="0" applyNumberFormat="1"/>
    <xf numFmtId="20" fontId="0" fillId="0" borderId="0" xfId="0" applyNumberFormat="1"/>
    <xf numFmtId="0" fontId="0" fillId="0" borderId="0" xfId="0" quotePrefix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0E931-3477-4C09-A62B-AEFF073486D6}">
  <dimension ref="A1:CN141"/>
  <sheetViews>
    <sheetView tabSelected="1" topLeftCell="A122" workbookViewId="0">
      <selection activeCell="A142" sqref="A142"/>
    </sheetView>
  </sheetViews>
  <sheetFormatPr defaultRowHeight="14.4" x14ac:dyDescent="0.3"/>
  <sheetData>
    <row r="1" spans="1:92" ht="15" thickBo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17</v>
      </c>
      <c r="U1" s="1" t="s">
        <v>19</v>
      </c>
      <c r="V1" s="1" t="s">
        <v>17</v>
      </c>
      <c r="W1" s="1" t="s">
        <v>20</v>
      </c>
      <c r="X1" s="1" t="s">
        <v>17</v>
      </c>
      <c r="Y1" s="1" t="s">
        <v>21</v>
      </c>
      <c r="Z1" s="1" t="s">
        <v>17</v>
      </c>
      <c r="AA1" s="1" t="s">
        <v>22</v>
      </c>
      <c r="AB1" s="1" t="s">
        <v>17</v>
      </c>
      <c r="AC1" s="1" t="s">
        <v>23</v>
      </c>
      <c r="AD1" s="1" t="s">
        <v>17</v>
      </c>
      <c r="AE1" s="1" t="s">
        <v>24</v>
      </c>
      <c r="AF1" s="1" t="s">
        <v>17</v>
      </c>
      <c r="AG1" s="1" t="s">
        <v>25</v>
      </c>
      <c r="AH1" s="1" t="s">
        <v>17</v>
      </c>
      <c r="AI1" s="1" t="s">
        <v>26</v>
      </c>
      <c r="AJ1" s="1" t="s">
        <v>17</v>
      </c>
      <c r="AK1" s="1" t="s">
        <v>27</v>
      </c>
      <c r="AL1" s="1" t="s">
        <v>17</v>
      </c>
      <c r="AM1" s="1" t="s">
        <v>28</v>
      </c>
      <c r="AN1" s="1" t="s">
        <v>17</v>
      </c>
      <c r="AO1" s="1" t="s">
        <v>29</v>
      </c>
      <c r="AP1" s="1" t="s">
        <v>17</v>
      </c>
      <c r="AQ1" s="1" t="s">
        <v>30</v>
      </c>
      <c r="AR1" s="1" t="s">
        <v>17</v>
      </c>
      <c r="AS1" s="1" t="s">
        <v>31</v>
      </c>
      <c r="AT1" s="1" t="s">
        <v>17</v>
      </c>
      <c r="AU1" s="1" t="s">
        <v>32</v>
      </c>
      <c r="AV1" s="1" t="s">
        <v>17</v>
      </c>
      <c r="AW1" s="1" t="s">
        <v>33</v>
      </c>
      <c r="AX1" s="1" t="s">
        <v>17</v>
      </c>
      <c r="AY1" s="1" t="s">
        <v>34</v>
      </c>
      <c r="AZ1" s="1" t="s">
        <v>17</v>
      </c>
      <c r="BA1" s="1" t="s">
        <v>35</v>
      </c>
      <c r="BB1" s="1" t="s">
        <v>17</v>
      </c>
      <c r="BC1" s="1" t="s">
        <v>36</v>
      </c>
      <c r="BD1" s="1" t="s">
        <v>17</v>
      </c>
      <c r="BE1" s="1" t="s">
        <v>37</v>
      </c>
      <c r="BF1" s="1" t="s">
        <v>17</v>
      </c>
      <c r="BG1" s="1" t="s">
        <v>38</v>
      </c>
      <c r="BH1" s="1" t="s">
        <v>39</v>
      </c>
      <c r="BI1" s="1" t="s">
        <v>40</v>
      </c>
      <c r="BJ1" s="1" t="s">
        <v>41</v>
      </c>
      <c r="BK1" s="1" t="s">
        <v>42</v>
      </c>
      <c r="BL1" s="1" t="s">
        <v>43</v>
      </c>
      <c r="BM1" s="1" t="s">
        <v>44</v>
      </c>
      <c r="BN1" s="1" t="s">
        <v>45</v>
      </c>
      <c r="BO1" s="1" t="s">
        <v>46</v>
      </c>
      <c r="BP1" s="1" t="s">
        <v>47</v>
      </c>
      <c r="BQ1" s="1" t="s">
        <v>48</v>
      </c>
      <c r="BR1" s="1" t="s">
        <v>49</v>
      </c>
      <c r="BS1" s="1" t="s">
        <v>50</v>
      </c>
      <c r="BT1" s="1" t="s">
        <v>51</v>
      </c>
      <c r="BU1" s="1" t="s">
        <v>52</v>
      </c>
      <c r="BV1" s="1" t="s">
        <v>53</v>
      </c>
      <c r="BW1" s="1" t="s">
        <v>54</v>
      </c>
      <c r="BX1" s="1" t="s">
        <v>55</v>
      </c>
      <c r="BY1" s="1" t="s">
        <v>56</v>
      </c>
      <c r="BZ1" s="1" t="s">
        <v>57</v>
      </c>
      <c r="CA1" s="1" t="s">
        <v>58</v>
      </c>
      <c r="CB1" s="1" t="s">
        <v>59</v>
      </c>
      <c r="CC1" s="1" t="s">
        <v>60</v>
      </c>
      <c r="CD1" s="1" t="s">
        <v>61</v>
      </c>
      <c r="CE1" s="1" t="s">
        <v>62</v>
      </c>
      <c r="CF1" s="1" t="s">
        <v>63</v>
      </c>
      <c r="CG1" s="1" t="s">
        <v>64</v>
      </c>
      <c r="CH1" s="1" t="s">
        <v>65</v>
      </c>
      <c r="CI1" s="1" t="s">
        <v>66</v>
      </c>
      <c r="CJ1" s="1" t="s">
        <v>67</v>
      </c>
      <c r="CK1" s="1" t="s">
        <v>68</v>
      </c>
      <c r="CL1" s="1" t="s">
        <v>69</v>
      </c>
      <c r="CM1" s="1" t="s">
        <v>70</v>
      </c>
      <c r="CN1" s="2" t="s">
        <v>71</v>
      </c>
    </row>
    <row r="2" spans="1:92" x14ac:dyDescent="0.3">
      <c r="A2" t="s">
        <v>72</v>
      </c>
      <c r="B2" t="s">
        <v>73</v>
      </c>
      <c r="C2" t="s">
        <v>74</v>
      </c>
      <c r="E2" t="str">
        <f>"009944639771"</f>
        <v>009944639771</v>
      </c>
      <c r="F2" s="3">
        <v>45931</v>
      </c>
      <c r="G2">
        <v>202607</v>
      </c>
      <c r="H2" t="s">
        <v>75</v>
      </c>
      <c r="I2" t="s">
        <v>76</v>
      </c>
      <c r="J2" t="s">
        <v>77</v>
      </c>
      <c r="K2" t="s">
        <v>78</v>
      </c>
      <c r="L2" t="s">
        <v>79</v>
      </c>
      <c r="M2" t="s">
        <v>80</v>
      </c>
      <c r="N2" t="s">
        <v>81</v>
      </c>
      <c r="O2" t="s">
        <v>82</v>
      </c>
      <c r="P2" t="str">
        <f>"SINENHLANHLA XIMBA            "</f>
        <v xml:space="preserve">SINENHLANHLA XIMBA            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22.36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1</v>
      </c>
      <c r="BI2">
        <v>1</v>
      </c>
      <c r="BJ2">
        <v>0.2</v>
      </c>
      <c r="BK2">
        <v>1</v>
      </c>
      <c r="BL2">
        <v>70.959999999999994</v>
      </c>
      <c r="BM2">
        <v>10.64</v>
      </c>
      <c r="BN2">
        <v>81.599999999999994</v>
      </c>
      <c r="BO2">
        <v>81.599999999999994</v>
      </c>
      <c r="BQ2" t="s">
        <v>83</v>
      </c>
      <c r="BR2" t="s">
        <v>84</v>
      </c>
      <c r="BS2" s="3">
        <v>45932</v>
      </c>
      <c r="BT2" s="4">
        <v>0.41249999999999998</v>
      </c>
      <c r="BU2" t="s">
        <v>85</v>
      </c>
      <c r="BV2" t="s">
        <v>86</v>
      </c>
      <c r="BY2">
        <v>1200</v>
      </c>
      <c r="BZ2" t="s">
        <v>87</v>
      </c>
      <c r="CC2" t="s">
        <v>80</v>
      </c>
      <c r="CD2">
        <v>2128</v>
      </c>
      <c r="CE2" t="s">
        <v>88</v>
      </c>
      <c r="CF2" s="3">
        <v>45932</v>
      </c>
      <c r="CI2">
        <v>1</v>
      </c>
      <c r="CJ2">
        <v>1</v>
      </c>
      <c r="CK2">
        <v>21</v>
      </c>
      <c r="CL2" t="s">
        <v>89</v>
      </c>
    </row>
    <row r="3" spans="1:92" x14ac:dyDescent="0.3">
      <c r="A3" t="s">
        <v>72</v>
      </c>
      <c r="B3" t="s">
        <v>73</v>
      </c>
      <c r="C3" t="s">
        <v>74</v>
      </c>
      <c r="E3" t="str">
        <f>"009943054764"</f>
        <v>009943054764</v>
      </c>
      <c r="F3" s="3">
        <v>45931</v>
      </c>
      <c r="G3">
        <v>202607</v>
      </c>
      <c r="H3" t="s">
        <v>79</v>
      </c>
      <c r="I3" t="s">
        <v>80</v>
      </c>
      <c r="J3" t="s">
        <v>90</v>
      </c>
      <c r="K3" t="s">
        <v>78</v>
      </c>
      <c r="L3" t="s">
        <v>75</v>
      </c>
      <c r="M3" t="s">
        <v>76</v>
      </c>
      <c r="N3" t="s">
        <v>91</v>
      </c>
      <c r="O3" t="s">
        <v>82</v>
      </c>
      <c r="P3" t="str">
        <f>"11116561PC 402190             "</f>
        <v xml:space="preserve">11116561PC 402190             </v>
      </c>
      <c r="Q3">
        <v>0</v>
      </c>
      <c r="R3">
        <v>0</v>
      </c>
      <c r="S3">
        <v>0</v>
      </c>
      <c r="T3">
        <v>0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Q3">
        <v>22.36</v>
      </c>
      <c r="AR3">
        <v>0</v>
      </c>
      <c r="AS3">
        <v>0</v>
      </c>
      <c r="AT3">
        <v>0</v>
      </c>
      <c r="AU3">
        <v>0</v>
      </c>
      <c r="AV3">
        <v>0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  <c r="BC3">
        <v>0</v>
      </c>
      <c r="BD3">
        <v>0</v>
      </c>
      <c r="BE3">
        <v>0</v>
      </c>
      <c r="BF3">
        <v>0</v>
      </c>
      <c r="BG3">
        <v>0</v>
      </c>
      <c r="BH3">
        <v>1</v>
      </c>
      <c r="BI3">
        <v>1</v>
      </c>
      <c r="BJ3">
        <v>0.2</v>
      </c>
      <c r="BK3">
        <v>1</v>
      </c>
      <c r="BL3">
        <v>70.959999999999994</v>
      </c>
      <c r="BM3">
        <v>10.64</v>
      </c>
      <c r="BN3">
        <v>81.599999999999994</v>
      </c>
      <c r="BO3">
        <v>81.599999999999994</v>
      </c>
      <c r="BQ3" t="s">
        <v>92</v>
      </c>
      <c r="BR3" t="s">
        <v>93</v>
      </c>
      <c r="BS3" s="3">
        <v>45932</v>
      </c>
      <c r="BT3" s="4">
        <v>0.42430555555555555</v>
      </c>
      <c r="BU3" t="s">
        <v>94</v>
      </c>
      <c r="BV3" t="s">
        <v>86</v>
      </c>
      <c r="BY3">
        <v>1200</v>
      </c>
      <c r="BZ3" t="s">
        <v>87</v>
      </c>
      <c r="CA3" t="s">
        <v>95</v>
      </c>
      <c r="CC3" t="s">
        <v>76</v>
      </c>
      <c r="CD3">
        <v>4000</v>
      </c>
      <c r="CE3" t="s">
        <v>88</v>
      </c>
      <c r="CF3" s="3">
        <v>45932</v>
      </c>
      <c r="CI3">
        <v>1</v>
      </c>
      <c r="CJ3">
        <v>1</v>
      </c>
      <c r="CK3">
        <v>21</v>
      </c>
      <c r="CL3" t="s">
        <v>89</v>
      </c>
    </row>
    <row r="4" spans="1:92" x14ac:dyDescent="0.3">
      <c r="A4" t="s">
        <v>72</v>
      </c>
      <c r="B4" t="s">
        <v>73</v>
      </c>
      <c r="C4" t="s">
        <v>74</v>
      </c>
      <c r="E4" t="str">
        <f>"009943604866"</f>
        <v>009943604866</v>
      </c>
      <c r="F4" s="3">
        <v>45931</v>
      </c>
      <c r="G4">
        <v>202607</v>
      </c>
      <c r="H4" t="s">
        <v>96</v>
      </c>
      <c r="I4" t="s">
        <v>97</v>
      </c>
      <c r="J4" t="s">
        <v>98</v>
      </c>
      <c r="K4" t="s">
        <v>78</v>
      </c>
      <c r="L4" t="s">
        <v>99</v>
      </c>
      <c r="M4" t="s">
        <v>100</v>
      </c>
      <c r="N4" t="s">
        <v>90</v>
      </c>
      <c r="O4" t="s">
        <v>101</v>
      </c>
      <c r="P4" t="str">
        <f>"11982270FM                    "</f>
        <v xml:space="preserve">11982270FM                    </v>
      </c>
      <c r="Q4">
        <v>0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F4">
        <v>0</v>
      </c>
      <c r="AG4">
        <v>5.87</v>
      </c>
      <c r="AH4">
        <v>0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Q4">
        <v>43.23</v>
      </c>
      <c r="AR4">
        <v>0</v>
      </c>
      <c r="AS4">
        <v>0</v>
      </c>
      <c r="AT4">
        <v>0</v>
      </c>
      <c r="AU4">
        <v>0</v>
      </c>
      <c r="AV4">
        <v>0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  <c r="BC4">
        <v>0</v>
      </c>
      <c r="BD4">
        <v>0</v>
      </c>
      <c r="BE4">
        <v>0</v>
      </c>
      <c r="BF4">
        <v>0</v>
      </c>
      <c r="BG4">
        <v>0</v>
      </c>
      <c r="BH4">
        <v>1</v>
      </c>
      <c r="BI4">
        <v>1.6</v>
      </c>
      <c r="BJ4">
        <v>2.5</v>
      </c>
      <c r="BK4">
        <v>3</v>
      </c>
      <c r="BL4">
        <v>143.08000000000001</v>
      </c>
      <c r="BM4">
        <v>21.46</v>
      </c>
      <c r="BN4">
        <v>164.54</v>
      </c>
      <c r="BO4">
        <v>164.54</v>
      </c>
      <c r="BQ4" t="s">
        <v>102</v>
      </c>
      <c r="BR4" t="s">
        <v>103</v>
      </c>
      <c r="BS4" s="3">
        <v>45933</v>
      </c>
      <c r="BT4" s="4">
        <v>0.34305555555555556</v>
      </c>
      <c r="BU4" t="s">
        <v>104</v>
      </c>
      <c r="BV4" t="s">
        <v>86</v>
      </c>
      <c r="BY4">
        <v>12540</v>
      </c>
      <c r="BZ4" t="s">
        <v>105</v>
      </c>
      <c r="CA4" t="s">
        <v>106</v>
      </c>
      <c r="CC4" t="s">
        <v>100</v>
      </c>
      <c r="CD4">
        <v>1600</v>
      </c>
      <c r="CE4" t="s">
        <v>88</v>
      </c>
      <c r="CF4" s="3">
        <v>45933</v>
      </c>
      <c r="CI4">
        <v>3</v>
      </c>
      <c r="CJ4">
        <v>2</v>
      </c>
      <c r="CK4">
        <v>41</v>
      </c>
      <c r="CL4" t="s">
        <v>89</v>
      </c>
    </row>
    <row r="5" spans="1:92" x14ac:dyDescent="0.3">
      <c r="A5" t="s">
        <v>72</v>
      </c>
      <c r="B5" t="s">
        <v>73</v>
      </c>
      <c r="C5" t="s">
        <v>74</v>
      </c>
      <c r="E5" t="str">
        <f>"080011637042"</f>
        <v>080011637042</v>
      </c>
      <c r="F5" s="3">
        <v>45932</v>
      </c>
      <c r="G5">
        <v>202607</v>
      </c>
      <c r="H5" t="s">
        <v>79</v>
      </c>
      <c r="I5" t="s">
        <v>80</v>
      </c>
      <c r="J5" t="s">
        <v>107</v>
      </c>
      <c r="K5" t="s">
        <v>78</v>
      </c>
      <c r="L5" t="s">
        <v>96</v>
      </c>
      <c r="M5" t="s">
        <v>97</v>
      </c>
      <c r="N5" t="s">
        <v>108</v>
      </c>
      <c r="O5" t="s">
        <v>82</v>
      </c>
      <c r="P5" t="str">
        <f>"460040 1192270FM CRM0169299   "</f>
        <v xml:space="preserve">460040 1192270FM CRM0169299   </v>
      </c>
      <c r="Q5">
        <v>0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Q5">
        <v>22.36</v>
      </c>
      <c r="AR5">
        <v>0</v>
      </c>
      <c r="AS5">
        <v>0</v>
      </c>
      <c r="AT5">
        <v>0</v>
      </c>
      <c r="AU5">
        <v>0</v>
      </c>
      <c r="AV5">
        <v>0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1</v>
      </c>
      <c r="BI5">
        <v>2</v>
      </c>
      <c r="BJ5">
        <v>1.2</v>
      </c>
      <c r="BK5">
        <v>2</v>
      </c>
      <c r="BL5">
        <v>70.959999999999994</v>
      </c>
      <c r="BM5">
        <v>10.64</v>
      </c>
      <c r="BN5">
        <v>81.599999999999994</v>
      </c>
      <c r="BO5">
        <v>81.599999999999994</v>
      </c>
      <c r="BP5" t="s">
        <v>109</v>
      </c>
      <c r="BQ5" t="s">
        <v>110</v>
      </c>
      <c r="BR5" t="s">
        <v>111</v>
      </c>
      <c r="BS5" s="3">
        <v>45933</v>
      </c>
      <c r="BT5" s="4">
        <v>0.46250000000000002</v>
      </c>
      <c r="BU5" t="s">
        <v>112</v>
      </c>
      <c r="BV5" t="s">
        <v>89</v>
      </c>
      <c r="BW5" t="s">
        <v>113</v>
      </c>
      <c r="BX5" t="s">
        <v>114</v>
      </c>
      <c r="BY5">
        <v>6000</v>
      </c>
      <c r="BZ5" t="s">
        <v>87</v>
      </c>
      <c r="CA5" t="s">
        <v>115</v>
      </c>
      <c r="CC5" t="s">
        <v>97</v>
      </c>
      <c r="CD5">
        <v>7480</v>
      </c>
      <c r="CE5" t="s">
        <v>88</v>
      </c>
      <c r="CF5" s="3">
        <v>45936</v>
      </c>
      <c r="CI5">
        <v>1</v>
      </c>
      <c r="CJ5">
        <v>1</v>
      </c>
      <c r="CK5">
        <v>21</v>
      </c>
      <c r="CL5" t="s">
        <v>89</v>
      </c>
    </row>
    <row r="6" spans="1:92" x14ac:dyDescent="0.3">
      <c r="A6" t="s">
        <v>72</v>
      </c>
      <c r="B6" t="s">
        <v>73</v>
      </c>
      <c r="C6" t="s">
        <v>74</v>
      </c>
      <c r="E6" t="str">
        <f>"080011638478"</f>
        <v>080011638478</v>
      </c>
      <c r="F6" s="3">
        <v>45932</v>
      </c>
      <c r="G6">
        <v>202607</v>
      </c>
      <c r="H6" t="s">
        <v>96</v>
      </c>
      <c r="I6" t="s">
        <v>97</v>
      </c>
      <c r="J6" t="s">
        <v>116</v>
      </c>
      <c r="K6" t="s">
        <v>78</v>
      </c>
      <c r="L6" t="s">
        <v>79</v>
      </c>
      <c r="M6" t="s">
        <v>80</v>
      </c>
      <c r="N6" t="s">
        <v>117</v>
      </c>
      <c r="O6" t="s">
        <v>101</v>
      </c>
      <c r="P6" t="str">
        <f>"402190 11005000BT             "</f>
        <v xml:space="preserve">402190 11005000BT             </v>
      </c>
      <c r="Q6">
        <v>0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F6">
        <v>0</v>
      </c>
      <c r="AG6">
        <v>5.87</v>
      </c>
      <c r="AH6">
        <v>0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Q6">
        <v>43.23</v>
      </c>
      <c r="AR6">
        <v>0</v>
      </c>
      <c r="AS6">
        <v>0</v>
      </c>
      <c r="AT6">
        <v>0</v>
      </c>
      <c r="AU6">
        <v>0</v>
      </c>
      <c r="AV6">
        <v>0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  <c r="BC6">
        <v>0</v>
      </c>
      <c r="BD6">
        <v>0</v>
      </c>
      <c r="BE6">
        <v>0</v>
      </c>
      <c r="BF6">
        <v>0</v>
      </c>
      <c r="BG6">
        <v>0</v>
      </c>
      <c r="BH6">
        <v>1</v>
      </c>
      <c r="BI6">
        <v>3.9</v>
      </c>
      <c r="BJ6">
        <v>4.5999999999999996</v>
      </c>
      <c r="BK6">
        <v>5</v>
      </c>
      <c r="BL6">
        <v>143.08000000000001</v>
      </c>
      <c r="BM6">
        <v>21.46</v>
      </c>
      <c r="BN6">
        <v>164.54</v>
      </c>
      <c r="BO6">
        <v>164.54</v>
      </c>
      <c r="BQ6" t="s">
        <v>118</v>
      </c>
      <c r="BR6" t="s">
        <v>119</v>
      </c>
      <c r="BS6" s="3">
        <v>45936</v>
      </c>
      <c r="BT6" s="4">
        <v>0.35</v>
      </c>
      <c r="BU6" t="s">
        <v>120</v>
      </c>
      <c r="BV6" t="s">
        <v>86</v>
      </c>
      <c r="BY6">
        <v>22971.4</v>
      </c>
      <c r="BZ6" t="s">
        <v>105</v>
      </c>
      <c r="CA6" t="s">
        <v>121</v>
      </c>
      <c r="CC6" t="s">
        <v>80</v>
      </c>
      <c r="CD6">
        <v>2021</v>
      </c>
      <c r="CE6" t="s">
        <v>88</v>
      </c>
      <c r="CF6" s="3">
        <v>45936</v>
      </c>
      <c r="CI6">
        <v>3</v>
      </c>
      <c r="CJ6">
        <v>2</v>
      </c>
      <c r="CK6">
        <v>41</v>
      </c>
      <c r="CL6" t="s">
        <v>89</v>
      </c>
    </row>
    <row r="7" spans="1:92" x14ac:dyDescent="0.3">
      <c r="A7" t="s">
        <v>122</v>
      </c>
      <c r="B7" t="s">
        <v>73</v>
      </c>
      <c r="C7" t="s">
        <v>74</v>
      </c>
      <c r="E7" t="str">
        <f>"009944406324"</f>
        <v>009944406324</v>
      </c>
      <c r="F7" s="3">
        <v>45932</v>
      </c>
      <c r="G7">
        <v>202607</v>
      </c>
      <c r="H7" t="s">
        <v>123</v>
      </c>
      <c r="I7" t="s">
        <v>124</v>
      </c>
      <c r="J7" t="s">
        <v>125</v>
      </c>
      <c r="K7" t="s">
        <v>78</v>
      </c>
      <c r="L7" t="s">
        <v>126</v>
      </c>
      <c r="M7" t="s">
        <v>127</v>
      </c>
      <c r="N7" t="s">
        <v>125</v>
      </c>
      <c r="O7" t="s">
        <v>128</v>
      </c>
      <c r="P7" t="str">
        <f>"                              "</f>
        <v xml:space="preserve">                              </v>
      </c>
      <c r="Q7">
        <v>0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  <c r="AJ7">
        <v>0</v>
      </c>
      <c r="AK7">
        <v>0</v>
      </c>
      <c r="AL7">
        <v>0</v>
      </c>
      <c r="AM7">
        <v>0</v>
      </c>
      <c r="AN7">
        <v>0</v>
      </c>
      <c r="AO7">
        <v>0</v>
      </c>
      <c r="AP7">
        <v>0</v>
      </c>
      <c r="AQ7">
        <v>41.92</v>
      </c>
      <c r="AR7">
        <v>0</v>
      </c>
      <c r="AS7">
        <v>0</v>
      </c>
      <c r="AT7">
        <v>0</v>
      </c>
      <c r="AU7">
        <v>0</v>
      </c>
      <c r="AV7">
        <v>0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1</v>
      </c>
      <c r="BI7">
        <v>1</v>
      </c>
      <c r="BJ7">
        <v>0.2</v>
      </c>
      <c r="BK7">
        <v>1</v>
      </c>
      <c r="BL7">
        <v>133.05000000000001</v>
      </c>
      <c r="BM7">
        <v>19.96</v>
      </c>
      <c r="BN7">
        <v>153.01</v>
      </c>
      <c r="BO7">
        <v>153.01</v>
      </c>
      <c r="BQ7" t="s">
        <v>129</v>
      </c>
      <c r="BR7" t="s">
        <v>130</v>
      </c>
      <c r="BS7" s="3">
        <v>45936</v>
      </c>
      <c r="BT7" s="4">
        <v>0.41111111111111109</v>
      </c>
      <c r="BU7" t="s">
        <v>131</v>
      </c>
      <c r="BV7" t="s">
        <v>89</v>
      </c>
      <c r="BW7" t="s">
        <v>132</v>
      </c>
      <c r="BX7" t="s">
        <v>133</v>
      </c>
      <c r="BY7">
        <v>1200</v>
      </c>
      <c r="BZ7" t="s">
        <v>105</v>
      </c>
      <c r="CA7" t="s">
        <v>134</v>
      </c>
      <c r="CC7" t="s">
        <v>127</v>
      </c>
      <c r="CD7">
        <v>6045</v>
      </c>
      <c r="CE7" t="s">
        <v>88</v>
      </c>
      <c r="CF7" s="3">
        <v>45936</v>
      </c>
      <c r="CI7">
        <v>1</v>
      </c>
      <c r="CJ7">
        <v>2</v>
      </c>
      <c r="CK7">
        <v>31</v>
      </c>
      <c r="CL7" t="s">
        <v>89</v>
      </c>
    </row>
    <row r="8" spans="1:92" x14ac:dyDescent="0.3">
      <c r="A8" t="s">
        <v>72</v>
      </c>
      <c r="B8" t="s">
        <v>73</v>
      </c>
      <c r="C8" t="s">
        <v>74</v>
      </c>
      <c r="E8" t="str">
        <f>"009945162280"</f>
        <v>009945162280</v>
      </c>
      <c r="F8" s="3">
        <v>45932</v>
      </c>
      <c r="G8">
        <v>202607</v>
      </c>
      <c r="H8" t="s">
        <v>79</v>
      </c>
      <c r="I8" t="s">
        <v>80</v>
      </c>
      <c r="J8" t="s">
        <v>90</v>
      </c>
      <c r="K8" t="s">
        <v>78</v>
      </c>
      <c r="L8" t="s">
        <v>96</v>
      </c>
      <c r="M8" t="s">
        <v>97</v>
      </c>
      <c r="N8" t="s">
        <v>135</v>
      </c>
      <c r="O8" t="s">
        <v>82</v>
      </c>
      <c r="P8" t="str">
        <f>"11112987TF 432090             "</f>
        <v xml:space="preserve">11112987TF 432090             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  <c r="AB8">
        <v>0</v>
      </c>
      <c r="AC8">
        <v>0</v>
      </c>
      <c r="AD8">
        <v>0</v>
      </c>
      <c r="AE8">
        <v>0</v>
      </c>
      <c r="AF8">
        <v>0</v>
      </c>
      <c r="AG8">
        <v>0</v>
      </c>
      <c r="AH8">
        <v>0</v>
      </c>
      <c r="AI8">
        <v>0</v>
      </c>
      <c r="AJ8">
        <v>0</v>
      </c>
      <c r="AK8">
        <v>0</v>
      </c>
      <c r="AL8">
        <v>0</v>
      </c>
      <c r="AM8">
        <v>0</v>
      </c>
      <c r="AN8">
        <v>0</v>
      </c>
      <c r="AO8">
        <v>0</v>
      </c>
      <c r="AP8">
        <v>0</v>
      </c>
      <c r="AQ8">
        <v>22.36</v>
      </c>
      <c r="AR8">
        <v>0</v>
      </c>
      <c r="AS8">
        <v>0</v>
      </c>
      <c r="AT8">
        <v>0</v>
      </c>
      <c r="AU8">
        <v>0</v>
      </c>
      <c r="AV8">
        <v>0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1</v>
      </c>
      <c r="BI8">
        <v>1</v>
      </c>
      <c r="BJ8">
        <v>0.2</v>
      </c>
      <c r="BK8">
        <v>1</v>
      </c>
      <c r="BL8">
        <v>70.959999999999994</v>
      </c>
      <c r="BM8">
        <v>10.64</v>
      </c>
      <c r="BN8">
        <v>81.599999999999994</v>
      </c>
      <c r="BO8">
        <v>81.599999999999994</v>
      </c>
      <c r="BQ8" t="s">
        <v>136</v>
      </c>
      <c r="BR8" t="s">
        <v>137</v>
      </c>
      <c r="BS8" s="3">
        <v>45933</v>
      </c>
      <c r="BT8" s="4">
        <v>0.46250000000000002</v>
      </c>
      <c r="BU8" t="s">
        <v>112</v>
      </c>
      <c r="BV8" t="s">
        <v>89</v>
      </c>
      <c r="BW8" t="s">
        <v>113</v>
      </c>
      <c r="BX8" t="s">
        <v>114</v>
      </c>
      <c r="BY8">
        <v>1200</v>
      </c>
      <c r="BZ8" t="s">
        <v>87</v>
      </c>
      <c r="CA8" t="s">
        <v>115</v>
      </c>
      <c r="CC8" t="s">
        <v>97</v>
      </c>
      <c r="CD8">
        <v>8000</v>
      </c>
      <c r="CE8" t="s">
        <v>88</v>
      </c>
      <c r="CF8" s="3">
        <v>45936</v>
      </c>
      <c r="CI8">
        <v>1</v>
      </c>
      <c r="CJ8">
        <v>1</v>
      </c>
      <c r="CK8">
        <v>21</v>
      </c>
      <c r="CL8" t="s">
        <v>89</v>
      </c>
    </row>
    <row r="9" spans="1:92" x14ac:dyDescent="0.3">
      <c r="A9" t="s">
        <v>72</v>
      </c>
      <c r="B9" t="s">
        <v>73</v>
      </c>
      <c r="C9" t="s">
        <v>74</v>
      </c>
      <c r="E9" t="str">
        <f>"009943099019"</f>
        <v>009943099019</v>
      </c>
      <c r="F9" s="3">
        <v>45932</v>
      </c>
      <c r="G9">
        <v>202607</v>
      </c>
      <c r="H9" t="s">
        <v>79</v>
      </c>
      <c r="I9" t="s">
        <v>80</v>
      </c>
      <c r="J9" t="s">
        <v>90</v>
      </c>
      <c r="K9" t="s">
        <v>78</v>
      </c>
      <c r="L9" t="s">
        <v>96</v>
      </c>
      <c r="M9" t="s">
        <v>97</v>
      </c>
      <c r="N9" t="s">
        <v>138</v>
      </c>
      <c r="O9" t="s">
        <v>82</v>
      </c>
      <c r="P9" t="str">
        <f>"11004530FN 460040             "</f>
        <v xml:space="preserve">11004530FN 460040             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  <c r="AM9">
        <v>0</v>
      </c>
      <c r="AN9">
        <v>0</v>
      </c>
      <c r="AO9">
        <v>0</v>
      </c>
      <c r="AP9">
        <v>0</v>
      </c>
      <c r="AQ9">
        <v>22.36</v>
      </c>
      <c r="AR9">
        <v>0</v>
      </c>
      <c r="AS9">
        <v>0</v>
      </c>
      <c r="AT9">
        <v>0</v>
      </c>
      <c r="AU9">
        <v>0</v>
      </c>
      <c r="AV9">
        <v>0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1</v>
      </c>
      <c r="BI9">
        <v>1</v>
      </c>
      <c r="BJ9">
        <v>0.2</v>
      </c>
      <c r="BK9">
        <v>1</v>
      </c>
      <c r="BL9">
        <v>70.959999999999994</v>
      </c>
      <c r="BM9">
        <v>10.64</v>
      </c>
      <c r="BN9">
        <v>81.599999999999994</v>
      </c>
      <c r="BO9">
        <v>81.599999999999994</v>
      </c>
      <c r="BQ9" t="s">
        <v>139</v>
      </c>
      <c r="BR9" t="s">
        <v>140</v>
      </c>
      <c r="BS9" s="3">
        <v>45933</v>
      </c>
      <c r="BT9" s="4">
        <v>0.4201388888888889</v>
      </c>
      <c r="BU9" t="s">
        <v>141</v>
      </c>
      <c r="BV9" t="s">
        <v>86</v>
      </c>
      <c r="BY9">
        <v>1200</v>
      </c>
      <c r="BZ9" t="s">
        <v>87</v>
      </c>
      <c r="CA9" t="s">
        <v>142</v>
      </c>
      <c r="CC9" t="s">
        <v>97</v>
      </c>
      <c r="CD9">
        <v>8000</v>
      </c>
      <c r="CE9" t="s">
        <v>88</v>
      </c>
      <c r="CF9" s="3">
        <v>45936</v>
      </c>
      <c r="CI9">
        <v>1</v>
      </c>
      <c r="CJ9">
        <v>1</v>
      </c>
      <c r="CK9">
        <v>21</v>
      </c>
      <c r="CL9" t="s">
        <v>89</v>
      </c>
    </row>
    <row r="10" spans="1:92" x14ac:dyDescent="0.3">
      <c r="A10" t="s">
        <v>72</v>
      </c>
      <c r="B10" t="s">
        <v>73</v>
      </c>
      <c r="C10" t="s">
        <v>74</v>
      </c>
      <c r="E10" t="str">
        <f>"009944781967"</f>
        <v>009944781967</v>
      </c>
      <c r="F10" s="3">
        <v>45932</v>
      </c>
      <c r="G10">
        <v>202607</v>
      </c>
      <c r="H10" t="s">
        <v>96</v>
      </c>
      <c r="I10" t="s">
        <v>97</v>
      </c>
      <c r="J10" t="s">
        <v>143</v>
      </c>
      <c r="K10" t="s">
        <v>78</v>
      </c>
      <c r="L10" t="s">
        <v>144</v>
      </c>
      <c r="M10" t="s">
        <v>145</v>
      </c>
      <c r="N10" t="s">
        <v>146</v>
      </c>
      <c r="O10" t="s">
        <v>101</v>
      </c>
      <c r="P10" t="str">
        <f>"CAPE TOWN                     "</f>
        <v xml:space="preserve">CAPE TOWN                     </v>
      </c>
      <c r="Q10">
        <v>0</v>
      </c>
      <c r="R10">
        <v>0</v>
      </c>
      <c r="S10">
        <v>0</v>
      </c>
      <c r="T10">
        <v>0</v>
      </c>
      <c r="U10">
        <v>0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  <c r="AB10">
        <v>0</v>
      </c>
      <c r="AC10">
        <v>0</v>
      </c>
      <c r="AD10">
        <v>0</v>
      </c>
      <c r="AE10">
        <v>0</v>
      </c>
      <c r="AF10">
        <v>0</v>
      </c>
      <c r="AG10">
        <v>5.87</v>
      </c>
      <c r="AH10">
        <v>0</v>
      </c>
      <c r="AI10">
        <v>0</v>
      </c>
      <c r="AJ10">
        <v>0</v>
      </c>
      <c r="AK10">
        <v>0</v>
      </c>
      <c r="AL10">
        <v>0</v>
      </c>
      <c r="AM10">
        <v>0</v>
      </c>
      <c r="AN10">
        <v>0</v>
      </c>
      <c r="AO10">
        <v>0</v>
      </c>
      <c r="AP10">
        <v>0</v>
      </c>
      <c r="AQ10">
        <v>60.97</v>
      </c>
      <c r="AR10">
        <v>0</v>
      </c>
      <c r="AS10">
        <v>0</v>
      </c>
      <c r="AT10">
        <v>0</v>
      </c>
      <c r="AU10">
        <v>0</v>
      </c>
      <c r="AV10">
        <v>0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1</v>
      </c>
      <c r="BI10">
        <v>10.4</v>
      </c>
      <c r="BJ10">
        <v>9.9</v>
      </c>
      <c r="BK10">
        <v>11</v>
      </c>
      <c r="BL10">
        <v>199.39</v>
      </c>
      <c r="BM10">
        <v>29.91</v>
      </c>
      <c r="BN10">
        <v>229.3</v>
      </c>
      <c r="BO10">
        <v>229.3</v>
      </c>
      <c r="BQ10" t="s">
        <v>147</v>
      </c>
      <c r="BR10" t="s">
        <v>148</v>
      </c>
      <c r="BS10" s="3">
        <v>45933</v>
      </c>
      <c r="BT10" s="4">
        <v>0.59027777777777779</v>
      </c>
      <c r="BU10" t="s">
        <v>149</v>
      </c>
      <c r="BV10" t="s">
        <v>86</v>
      </c>
      <c r="BY10">
        <v>49624.800000000003</v>
      </c>
      <c r="BZ10" t="s">
        <v>105</v>
      </c>
      <c r="CC10" t="s">
        <v>145</v>
      </c>
      <c r="CD10">
        <v>6500</v>
      </c>
      <c r="CE10" t="s">
        <v>88</v>
      </c>
      <c r="CF10" s="3">
        <v>45933</v>
      </c>
      <c r="CI10">
        <v>1</v>
      </c>
      <c r="CJ10">
        <v>1</v>
      </c>
      <c r="CK10">
        <v>43</v>
      </c>
      <c r="CL10" t="s">
        <v>89</v>
      </c>
    </row>
    <row r="11" spans="1:92" x14ac:dyDescent="0.3">
      <c r="A11" t="s">
        <v>72</v>
      </c>
      <c r="B11" t="s">
        <v>73</v>
      </c>
      <c r="C11" t="s">
        <v>74</v>
      </c>
      <c r="E11" t="str">
        <f>"009944781968"</f>
        <v>009944781968</v>
      </c>
      <c r="F11" s="3">
        <v>45932</v>
      </c>
      <c r="G11">
        <v>202607</v>
      </c>
      <c r="H11" t="s">
        <v>96</v>
      </c>
      <c r="I11" t="s">
        <v>97</v>
      </c>
      <c r="J11" t="s">
        <v>143</v>
      </c>
      <c r="K11" t="s">
        <v>78</v>
      </c>
      <c r="L11" t="s">
        <v>150</v>
      </c>
      <c r="M11" t="s">
        <v>151</v>
      </c>
      <c r="N11" t="s">
        <v>152</v>
      </c>
      <c r="O11" t="s">
        <v>101</v>
      </c>
      <c r="P11" t="str">
        <f>"CAPE TOWN                     "</f>
        <v xml:space="preserve">CAPE TOWN                     </v>
      </c>
      <c r="Q11">
        <v>0</v>
      </c>
      <c r="R11">
        <v>0</v>
      </c>
      <c r="S11">
        <v>0</v>
      </c>
      <c r="T11">
        <v>0</v>
      </c>
      <c r="U11">
        <v>0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  <c r="AB11">
        <v>0</v>
      </c>
      <c r="AC11">
        <v>0</v>
      </c>
      <c r="AD11">
        <v>0</v>
      </c>
      <c r="AE11">
        <v>0</v>
      </c>
      <c r="AF11">
        <v>0</v>
      </c>
      <c r="AG11">
        <v>5.87</v>
      </c>
      <c r="AH11">
        <v>0</v>
      </c>
      <c r="AI11">
        <v>0</v>
      </c>
      <c r="AJ11">
        <v>0</v>
      </c>
      <c r="AK11">
        <v>0</v>
      </c>
      <c r="AL11">
        <v>0</v>
      </c>
      <c r="AM11">
        <v>0</v>
      </c>
      <c r="AN11">
        <v>0</v>
      </c>
      <c r="AO11">
        <v>0</v>
      </c>
      <c r="AP11">
        <v>0</v>
      </c>
      <c r="AQ11">
        <v>60.97</v>
      </c>
      <c r="AR11">
        <v>0</v>
      </c>
      <c r="AS11">
        <v>0</v>
      </c>
      <c r="AT11">
        <v>0</v>
      </c>
      <c r="AU11">
        <v>0</v>
      </c>
      <c r="AV11">
        <v>0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1</v>
      </c>
      <c r="BI11">
        <v>3.5</v>
      </c>
      <c r="BJ11">
        <v>7.4</v>
      </c>
      <c r="BK11">
        <v>8</v>
      </c>
      <c r="BL11">
        <v>199.39</v>
      </c>
      <c r="BM11">
        <v>29.91</v>
      </c>
      <c r="BN11">
        <v>229.3</v>
      </c>
      <c r="BO11">
        <v>229.3</v>
      </c>
      <c r="BQ11" t="s">
        <v>147</v>
      </c>
      <c r="BR11" t="s">
        <v>148</v>
      </c>
      <c r="BS11" s="3">
        <v>45933</v>
      </c>
      <c r="BT11" s="4">
        <v>0.74513888888888891</v>
      </c>
      <c r="BU11" t="s">
        <v>153</v>
      </c>
      <c r="BV11" t="s">
        <v>86</v>
      </c>
      <c r="BY11">
        <v>36966.400000000001</v>
      </c>
      <c r="BZ11" t="s">
        <v>105</v>
      </c>
      <c r="CA11" t="s">
        <v>154</v>
      </c>
      <c r="CC11" t="s">
        <v>151</v>
      </c>
      <c r="CD11">
        <v>6570</v>
      </c>
      <c r="CE11" t="s">
        <v>88</v>
      </c>
      <c r="CF11" s="3">
        <v>45936</v>
      </c>
      <c r="CI11">
        <v>2</v>
      </c>
      <c r="CJ11">
        <v>1</v>
      </c>
      <c r="CK11">
        <v>43</v>
      </c>
      <c r="CL11" t="s">
        <v>89</v>
      </c>
    </row>
    <row r="12" spans="1:92" x14ac:dyDescent="0.3">
      <c r="A12" t="s">
        <v>72</v>
      </c>
      <c r="B12" t="s">
        <v>73</v>
      </c>
      <c r="C12" t="s">
        <v>74</v>
      </c>
      <c r="E12" t="str">
        <f>"009944781970"</f>
        <v>009944781970</v>
      </c>
      <c r="F12" s="3">
        <v>45932</v>
      </c>
      <c r="G12">
        <v>202607</v>
      </c>
      <c r="H12" t="s">
        <v>96</v>
      </c>
      <c r="I12" t="s">
        <v>97</v>
      </c>
      <c r="J12" t="s">
        <v>143</v>
      </c>
      <c r="K12" t="s">
        <v>78</v>
      </c>
      <c r="L12" t="s">
        <v>155</v>
      </c>
      <c r="M12" t="s">
        <v>156</v>
      </c>
      <c r="N12" t="s">
        <v>143</v>
      </c>
      <c r="O12" t="s">
        <v>82</v>
      </c>
      <c r="P12" t="str">
        <f>"CAPE TOWN                     "</f>
        <v xml:space="preserve">CAPE TOWN                     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M12">
        <v>0</v>
      </c>
      <c r="AN12">
        <v>0</v>
      </c>
      <c r="AO12">
        <v>0</v>
      </c>
      <c r="AP12">
        <v>0</v>
      </c>
      <c r="AQ12">
        <v>117.29</v>
      </c>
      <c r="AR12">
        <v>0</v>
      </c>
      <c r="AS12">
        <v>0</v>
      </c>
      <c r="AT12">
        <v>0</v>
      </c>
      <c r="AU12">
        <v>0</v>
      </c>
      <c r="AV12">
        <v>0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1</v>
      </c>
      <c r="BI12">
        <v>3.8</v>
      </c>
      <c r="BJ12">
        <v>10.199999999999999</v>
      </c>
      <c r="BK12">
        <v>10.5</v>
      </c>
      <c r="BL12">
        <v>372.27</v>
      </c>
      <c r="BM12">
        <v>55.84</v>
      </c>
      <c r="BN12">
        <v>428.11</v>
      </c>
      <c r="BO12">
        <v>428.11</v>
      </c>
      <c r="BQ12" t="s">
        <v>157</v>
      </c>
      <c r="BR12" t="s">
        <v>148</v>
      </c>
      <c r="BS12" s="3">
        <v>45933</v>
      </c>
      <c r="BT12" s="4">
        <v>0.38541666666666669</v>
      </c>
      <c r="BU12" t="s">
        <v>158</v>
      </c>
      <c r="BV12" t="s">
        <v>86</v>
      </c>
      <c r="BY12">
        <v>51063.199999999997</v>
      </c>
      <c r="BZ12" t="s">
        <v>87</v>
      </c>
      <c r="CA12" t="s">
        <v>159</v>
      </c>
      <c r="CC12" t="s">
        <v>156</v>
      </c>
      <c r="CD12">
        <v>1683</v>
      </c>
      <c r="CE12" t="s">
        <v>88</v>
      </c>
      <c r="CF12" s="3">
        <v>45934</v>
      </c>
      <c r="CI12">
        <v>1</v>
      </c>
      <c r="CJ12">
        <v>1</v>
      </c>
      <c r="CK12">
        <v>21</v>
      </c>
      <c r="CL12" t="s">
        <v>89</v>
      </c>
    </row>
    <row r="13" spans="1:92" x14ac:dyDescent="0.3">
      <c r="A13" t="s">
        <v>72</v>
      </c>
      <c r="B13" t="s">
        <v>73</v>
      </c>
      <c r="C13" t="s">
        <v>74</v>
      </c>
      <c r="E13" t="str">
        <f>"009942926716"</f>
        <v>009942926716</v>
      </c>
      <c r="F13" s="3">
        <v>45933</v>
      </c>
      <c r="G13">
        <v>202607</v>
      </c>
      <c r="H13" t="s">
        <v>79</v>
      </c>
      <c r="I13" t="s">
        <v>80</v>
      </c>
      <c r="J13" t="s">
        <v>90</v>
      </c>
      <c r="K13" t="s">
        <v>78</v>
      </c>
      <c r="L13" t="s">
        <v>126</v>
      </c>
      <c r="M13" t="s">
        <v>127</v>
      </c>
      <c r="N13" t="s">
        <v>160</v>
      </c>
      <c r="O13" t="s">
        <v>82</v>
      </c>
      <c r="P13" t="str">
        <f>"18352437FS 460040             "</f>
        <v xml:space="preserve">18352437FS 460040             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22.36</v>
      </c>
      <c r="AR13">
        <v>0</v>
      </c>
      <c r="AS13">
        <v>0</v>
      </c>
      <c r="AT13">
        <v>0</v>
      </c>
      <c r="AU13">
        <v>0</v>
      </c>
      <c r="AV13">
        <v>0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1</v>
      </c>
      <c r="BI13">
        <v>1</v>
      </c>
      <c r="BJ13">
        <v>0.2</v>
      </c>
      <c r="BK13">
        <v>1</v>
      </c>
      <c r="BL13">
        <v>70.959999999999994</v>
      </c>
      <c r="BM13">
        <v>10.64</v>
      </c>
      <c r="BN13">
        <v>81.599999999999994</v>
      </c>
      <c r="BO13">
        <v>81.599999999999994</v>
      </c>
      <c r="BQ13" t="s">
        <v>161</v>
      </c>
      <c r="BR13" t="s">
        <v>162</v>
      </c>
      <c r="BS13" s="3">
        <v>45936</v>
      </c>
      <c r="BT13" s="4">
        <v>0.65625</v>
      </c>
      <c r="BU13" t="s">
        <v>163</v>
      </c>
      <c r="BV13" t="s">
        <v>89</v>
      </c>
      <c r="BW13" t="s">
        <v>132</v>
      </c>
      <c r="BX13" t="s">
        <v>133</v>
      </c>
      <c r="BY13">
        <v>1200</v>
      </c>
      <c r="BZ13" t="s">
        <v>87</v>
      </c>
      <c r="CA13" t="s">
        <v>164</v>
      </c>
      <c r="CC13" t="s">
        <v>127</v>
      </c>
      <c r="CD13">
        <v>6045</v>
      </c>
      <c r="CE13" t="s">
        <v>88</v>
      </c>
      <c r="CF13" s="3">
        <v>45936</v>
      </c>
      <c r="CI13">
        <v>1</v>
      </c>
      <c r="CJ13">
        <v>1</v>
      </c>
      <c r="CK13">
        <v>21</v>
      </c>
      <c r="CL13" t="s">
        <v>89</v>
      </c>
    </row>
    <row r="14" spans="1:92" x14ac:dyDescent="0.3">
      <c r="A14" t="s">
        <v>72</v>
      </c>
      <c r="B14" t="s">
        <v>73</v>
      </c>
      <c r="C14" t="s">
        <v>74</v>
      </c>
      <c r="E14" t="str">
        <f>"009944622495"</f>
        <v>009944622495</v>
      </c>
      <c r="F14" s="3">
        <v>45933</v>
      </c>
      <c r="G14">
        <v>202607</v>
      </c>
      <c r="H14" t="s">
        <v>75</v>
      </c>
      <c r="I14" t="s">
        <v>76</v>
      </c>
      <c r="J14" t="s">
        <v>77</v>
      </c>
      <c r="K14" t="s">
        <v>78</v>
      </c>
      <c r="L14" t="s">
        <v>96</v>
      </c>
      <c r="M14" t="s">
        <v>97</v>
      </c>
      <c r="N14" t="s">
        <v>165</v>
      </c>
      <c r="O14" t="s">
        <v>101</v>
      </c>
      <c r="P14" t="str">
        <f>"                              "</f>
        <v xml:space="preserve">                              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5.87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43.23</v>
      </c>
      <c r="AR14">
        <v>0</v>
      </c>
      <c r="AS14">
        <v>0</v>
      </c>
      <c r="AT14">
        <v>0</v>
      </c>
      <c r="AU14">
        <v>0</v>
      </c>
      <c r="AV14">
        <v>0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1</v>
      </c>
      <c r="BI14">
        <v>1</v>
      </c>
      <c r="BJ14">
        <v>0.7</v>
      </c>
      <c r="BK14">
        <v>1</v>
      </c>
      <c r="BL14">
        <v>143.08000000000001</v>
      </c>
      <c r="BM14">
        <v>21.46</v>
      </c>
      <c r="BN14">
        <v>164.54</v>
      </c>
      <c r="BO14">
        <v>164.54</v>
      </c>
      <c r="BS14" s="3">
        <v>45936</v>
      </c>
      <c r="BT14" s="4">
        <v>0.53541666666666665</v>
      </c>
      <c r="BU14" t="s">
        <v>166</v>
      </c>
      <c r="BV14" t="s">
        <v>86</v>
      </c>
      <c r="BY14">
        <v>3600</v>
      </c>
      <c r="BZ14" t="s">
        <v>105</v>
      </c>
      <c r="CC14" t="s">
        <v>97</v>
      </c>
      <c r="CD14">
        <v>8000</v>
      </c>
      <c r="CE14" t="s">
        <v>88</v>
      </c>
      <c r="CF14" s="3">
        <v>45937</v>
      </c>
      <c r="CI14">
        <v>3</v>
      </c>
      <c r="CJ14">
        <v>1</v>
      </c>
      <c r="CK14">
        <v>41</v>
      </c>
      <c r="CL14" t="s">
        <v>89</v>
      </c>
    </row>
    <row r="15" spans="1:92" x14ac:dyDescent="0.3">
      <c r="A15" t="s">
        <v>72</v>
      </c>
      <c r="B15" t="s">
        <v>73</v>
      </c>
      <c r="C15" t="s">
        <v>74</v>
      </c>
      <c r="E15" t="str">
        <f>"009944622557"</f>
        <v>009944622557</v>
      </c>
      <c r="F15" s="3">
        <v>45933</v>
      </c>
      <c r="G15">
        <v>202607</v>
      </c>
      <c r="H15" t="s">
        <v>75</v>
      </c>
      <c r="I15" t="s">
        <v>76</v>
      </c>
      <c r="J15" t="s">
        <v>77</v>
      </c>
      <c r="K15" t="s">
        <v>78</v>
      </c>
      <c r="L15" t="s">
        <v>96</v>
      </c>
      <c r="M15" t="s">
        <v>97</v>
      </c>
      <c r="N15" t="s">
        <v>167</v>
      </c>
      <c r="O15" t="s">
        <v>82</v>
      </c>
      <c r="P15" t="str">
        <f>"                              "</f>
        <v xml:space="preserve">                              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22.36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1</v>
      </c>
      <c r="BI15">
        <v>1</v>
      </c>
      <c r="BJ15">
        <v>1</v>
      </c>
      <c r="BK15">
        <v>1</v>
      </c>
      <c r="BL15">
        <v>70.959999999999994</v>
      </c>
      <c r="BM15">
        <v>10.64</v>
      </c>
      <c r="BN15">
        <v>81.599999999999994</v>
      </c>
      <c r="BO15">
        <v>81.599999999999994</v>
      </c>
      <c r="BS15" s="3">
        <v>45936</v>
      </c>
      <c r="BT15" s="4">
        <v>0.45902777777777776</v>
      </c>
      <c r="BU15" t="s">
        <v>168</v>
      </c>
      <c r="BV15" t="s">
        <v>86</v>
      </c>
      <c r="BY15">
        <v>4800</v>
      </c>
      <c r="BZ15" t="s">
        <v>87</v>
      </c>
      <c r="CA15" t="s">
        <v>169</v>
      </c>
      <c r="CC15" t="s">
        <v>97</v>
      </c>
      <c r="CD15">
        <v>7708</v>
      </c>
      <c r="CE15" t="s">
        <v>88</v>
      </c>
      <c r="CF15" s="3">
        <v>45937</v>
      </c>
      <c r="CI15">
        <v>2</v>
      </c>
      <c r="CJ15">
        <v>1</v>
      </c>
      <c r="CK15">
        <v>21</v>
      </c>
      <c r="CL15" t="s">
        <v>89</v>
      </c>
    </row>
    <row r="16" spans="1:92" x14ac:dyDescent="0.3">
      <c r="A16" t="s">
        <v>122</v>
      </c>
      <c r="B16" t="s">
        <v>73</v>
      </c>
      <c r="C16" t="s">
        <v>74</v>
      </c>
      <c r="E16" t="str">
        <f>"009943104970"</f>
        <v>009943104970</v>
      </c>
      <c r="F16" s="3">
        <v>45933</v>
      </c>
      <c r="G16">
        <v>202607</v>
      </c>
      <c r="H16" t="s">
        <v>170</v>
      </c>
      <c r="I16" t="s">
        <v>171</v>
      </c>
      <c r="J16" t="s">
        <v>172</v>
      </c>
      <c r="K16" t="s">
        <v>78</v>
      </c>
      <c r="L16" t="s">
        <v>99</v>
      </c>
      <c r="M16" t="s">
        <v>100</v>
      </c>
      <c r="N16" t="s">
        <v>173</v>
      </c>
      <c r="O16" t="s">
        <v>82</v>
      </c>
      <c r="P16" t="str">
        <f>"                              "</f>
        <v xml:space="preserve">                              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Q16">
        <v>43.31</v>
      </c>
      <c r="AR16">
        <v>0</v>
      </c>
      <c r="AS16">
        <v>0</v>
      </c>
      <c r="AT16">
        <v>0</v>
      </c>
      <c r="AU16">
        <v>0</v>
      </c>
      <c r="AV16">
        <v>0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1</v>
      </c>
      <c r="BI16">
        <v>1</v>
      </c>
      <c r="BJ16">
        <v>0.5</v>
      </c>
      <c r="BK16">
        <v>1</v>
      </c>
      <c r="BL16">
        <v>137.47</v>
      </c>
      <c r="BM16">
        <v>20.62</v>
      </c>
      <c r="BN16">
        <v>158.09</v>
      </c>
      <c r="BO16">
        <v>158.09</v>
      </c>
      <c r="BQ16" t="s">
        <v>102</v>
      </c>
      <c r="BR16" t="s">
        <v>174</v>
      </c>
      <c r="BS16" s="3">
        <v>45936</v>
      </c>
      <c r="BT16" s="4">
        <v>0.39583333333333331</v>
      </c>
      <c r="BU16" t="s">
        <v>104</v>
      </c>
      <c r="BV16" t="s">
        <v>86</v>
      </c>
      <c r="BY16">
        <v>2400</v>
      </c>
      <c r="BZ16" t="s">
        <v>87</v>
      </c>
      <c r="CA16" t="s">
        <v>106</v>
      </c>
      <c r="CC16" t="s">
        <v>100</v>
      </c>
      <c r="CD16">
        <v>1600</v>
      </c>
      <c r="CE16" t="s">
        <v>175</v>
      </c>
      <c r="CF16" s="3">
        <v>45937</v>
      </c>
      <c r="CI16">
        <v>1</v>
      </c>
      <c r="CJ16">
        <v>1</v>
      </c>
      <c r="CK16">
        <v>23</v>
      </c>
      <c r="CL16" t="s">
        <v>89</v>
      </c>
    </row>
    <row r="17" spans="1:90" x14ac:dyDescent="0.3">
      <c r="A17" t="s">
        <v>122</v>
      </c>
      <c r="B17" t="s">
        <v>73</v>
      </c>
      <c r="C17" t="s">
        <v>74</v>
      </c>
      <c r="E17" t="str">
        <f>"009944813874"</f>
        <v>009944813874</v>
      </c>
      <c r="F17" s="3">
        <v>45936</v>
      </c>
      <c r="G17">
        <v>202607</v>
      </c>
      <c r="H17" t="s">
        <v>176</v>
      </c>
      <c r="I17" t="s">
        <v>177</v>
      </c>
      <c r="J17" t="s">
        <v>178</v>
      </c>
      <c r="K17" t="s">
        <v>78</v>
      </c>
      <c r="L17" t="s">
        <v>126</v>
      </c>
      <c r="M17" t="s">
        <v>127</v>
      </c>
      <c r="N17" t="s">
        <v>179</v>
      </c>
      <c r="O17" t="s">
        <v>82</v>
      </c>
      <c r="P17" t="str">
        <f>"                              "</f>
        <v xml:space="preserve">                              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27.94</v>
      </c>
      <c r="AR17">
        <v>0</v>
      </c>
      <c r="AS17">
        <v>0</v>
      </c>
      <c r="AT17">
        <v>0</v>
      </c>
      <c r="AU17">
        <v>0</v>
      </c>
      <c r="AV17">
        <v>0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1</v>
      </c>
      <c r="BI17">
        <v>2</v>
      </c>
      <c r="BJ17">
        <v>2.1</v>
      </c>
      <c r="BK17">
        <v>2.5</v>
      </c>
      <c r="BL17">
        <v>88.68</v>
      </c>
      <c r="BM17">
        <v>13.3</v>
      </c>
      <c r="BN17">
        <v>101.98</v>
      </c>
      <c r="BO17">
        <v>101.98</v>
      </c>
      <c r="BQ17" t="s">
        <v>180</v>
      </c>
      <c r="BR17" t="s">
        <v>181</v>
      </c>
      <c r="BS17" s="3">
        <v>45937</v>
      </c>
      <c r="BT17" s="4">
        <v>0.32847222222222222</v>
      </c>
      <c r="BU17" t="s">
        <v>182</v>
      </c>
      <c r="BV17" t="s">
        <v>86</v>
      </c>
      <c r="BY17">
        <v>10434</v>
      </c>
      <c r="BZ17" t="s">
        <v>87</v>
      </c>
      <c r="CA17" t="s">
        <v>164</v>
      </c>
      <c r="CC17" t="s">
        <v>127</v>
      </c>
      <c r="CD17">
        <v>6045</v>
      </c>
      <c r="CE17" t="s">
        <v>88</v>
      </c>
      <c r="CF17" s="3">
        <v>45937</v>
      </c>
      <c r="CI17">
        <v>1</v>
      </c>
      <c r="CJ17">
        <v>1</v>
      </c>
      <c r="CK17">
        <v>21</v>
      </c>
      <c r="CL17" t="s">
        <v>89</v>
      </c>
    </row>
    <row r="18" spans="1:90" x14ac:dyDescent="0.3">
      <c r="A18" t="s">
        <v>72</v>
      </c>
      <c r="B18" t="s">
        <v>73</v>
      </c>
      <c r="C18" t="s">
        <v>74</v>
      </c>
      <c r="E18" t="str">
        <f>"009944622560"</f>
        <v>009944622560</v>
      </c>
      <c r="F18" s="3">
        <v>45932</v>
      </c>
      <c r="G18">
        <v>202607</v>
      </c>
      <c r="H18" t="s">
        <v>75</v>
      </c>
      <c r="I18" t="s">
        <v>76</v>
      </c>
      <c r="J18" t="s">
        <v>77</v>
      </c>
      <c r="K18" t="s">
        <v>78</v>
      </c>
      <c r="L18" t="s">
        <v>96</v>
      </c>
      <c r="M18" t="s">
        <v>97</v>
      </c>
      <c r="N18" t="s">
        <v>183</v>
      </c>
      <c r="O18" t="s">
        <v>101</v>
      </c>
      <c r="P18" t="str">
        <f>"                              "</f>
        <v xml:space="preserve">                              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5.87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43.23</v>
      </c>
      <c r="AR18">
        <v>0</v>
      </c>
      <c r="AS18">
        <v>0</v>
      </c>
      <c r="AT18">
        <v>0</v>
      </c>
      <c r="AU18">
        <v>0</v>
      </c>
      <c r="AV18">
        <v>0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1</v>
      </c>
      <c r="BI18">
        <v>2</v>
      </c>
      <c r="BJ18">
        <v>9.6</v>
      </c>
      <c r="BK18">
        <v>10</v>
      </c>
      <c r="BL18">
        <v>143.08000000000001</v>
      </c>
      <c r="BM18">
        <v>21.46</v>
      </c>
      <c r="BN18">
        <v>164.54</v>
      </c>
      <c r="BO18">
        <v>164.54</v>
      </c>
      <c r="BQ18" t="s">
        <v>184</v>
      </c>
      <c r="BR18" t="s">
        <v>185</v>
      </c>
      <c r="BS18" s="3">
        <v>45937</v>
      </c>
      <c r="BT18" s="4">
        <v>0.59722222222222221</v>
      </c>
      <c r="BU18" t="s">
        <v>186</v>
      </c>
      <c r="BV18" t="s">
        <v>86</v>
      </c>
      <c r="BY18">
        <v>48000</v>
      </c>
      <c r="BZ18" t="s">
        <v>105</v>
      </c>
      <c r="CC18" t="s">
        <v>97</v>
      </c>
      <c r="CD18">
        <v>8000</v>
      </c>
      <c r="CE18" t="s">
        <v>88</v>
      </c>
      <c r="CF18" s="3">
        <v>45938</v>
      </c>
      <c r="CI18">
        <v>3</v>
      </c>
      <c r="CJ18">
        <v>3</v>
      </c>
      <c r="CK18">
        <v>41</v>
      </c>
      <c r="CL18" t="s">
        <v>89</v>
      </c>
    </row>
    <row r="19" spans="1:90" x14ac:dyDescent="0.3">
      <c r="A19" t="s">
        <v>72</v>
      </c>
      <c r="B19" t="s">
        <v>73</v>
      </c>
      <c r="C19" t="s">
        <v>74</v>
      </c>
      <c r="E19" t="str">
        <f>"009945160157"</f>
        <v>009945160157</v>
      </c>
      <c r="F19" s="3">
        <v>45936</v>
      </c>
      <c r="G19">
        <v>202607</v>
      </c>
      <c r="H19" t="s">
        <v>79</v>
      </c>
      <c r="I19" t="s">
        <v>80</v>
      </c>
      <c r="J19" t="s">
        <v>90</v>
      </c>
      <c r="K19" t="s">
        <v>78</v>
      </c>
      <c r="L19" t="s">
        <v>187</v>
      </c>
      <c r="M19" t="s">
        <v>188</v>
      </c>
      <c r="N19" t="s">
        <v>189</v>
      </c>
      <c r="O19" t="s">
        <v>82</v>
      </c>
      <c r="P19" t="str">
        <f>"11005000BT 402190             "</f>
        <v xml:space="preserve">11005000BT 402190             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22.36</v>
      </c>
      <c r="AR19">
        <v>0</v>
      </c>
      <c r="AS19">
        <v>0</v>
      </c>
      <c r="AT19">
        <v>0</v>
      </c>
      <c r="AU19">
        <v>0</v>
      </c>
      <c r="AV19">
        <v>0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1</v>
      </c>
      <c r="BI19">
        <v>2</v>
      </c>
      <c r="BJ19">
        <v>0.7</v>
      </c>
      <c r="BK19">
        <v>2</v>
      </c>
      <c r="BL19">
        <v>70.959999999999994</v>
      </c>
      <c r="BM19">
        <v>10.64</v>
      </c>
      <c r="BN19">
        <v>81.599999999999994</v>
      </c>
      <c r="BO19">
        <v>81.599999999999994</v>
      </c>
      <c r="BQ19" t="s">
        <v>190</v>
      </c>
      <c r="BR19" t="s">
        <v>191</v>
      </c>
      <c r="BS19" s="3">
        <v>45937</v>
      </c>
      <c r="BT19" s="4">
        <v>0.37847222222222221</v>
      </c>
      <c r="BU19" t="s">
        <v>192</v>
      </c>
      <c r="BV19" t="s">
        <v>86</v>
      </c>
      <c r="BY19">
        <v>3600</v>
      </c>
      <c r="BZ19" t="s">
        <v>87</v>
      </c>
      <c r="CA19" t="s">
        <v>95</v>
      </c>
      <c r="CC19" t="s">
        <v>188</v>
      </c>
      <c r="CD19">
        <v>3610</v>
      </c>
      <c r="CE19" t="s">
        <v>88</v>
      </c>
      <c r="CF19" s="3">
        <v>45938</v>
      </c>
      <c r="CI19">
        <v>1</v>
      </c>
      <c r="CJ19">
        <v>1</v>
      </c>
      <c r="CK19">
        <v>21</v>
      </c>
      <c r="CL19" t="s">
        <v>89</v>
      </c>
    </row>
    <row r="20" spans="1:90" x14ac:dyDescent="0.3">
      <c r="A20" t="s">
        <v>72</v>
      </c>
      <c r="B20" t="s">
        <v>73</v>
      </c>
      <c r="C20" t="s">
        <v>74</v>
      </c>
      <c r="E20" t="str">
        <f>"009944219399"</f>
        <v>009944219399</v>
      </c>
      <c r="F20" s="3">
        <v>45936</v>
      </c>
      <c r="G20">
        <v>202607</v>
      </c>
      <c r="H20" t="s">
        <v>79</v>
      </c>
      <c r="I20" t="s">
        <v>80</v>
      </c>
      <c r="J20" t="s">
        <v>90</v>
      </c>
      <c r="K20" t="s">
        <v>78</v>
      </c>
      <c r="L20" t="s">
        <v>75</v>
      </c>
      <c r="M20" t="s">
        <v>76</v>
      </c>
      <c r="N20" t="s">
        <v>193</v>
      </c>
      <c r="O20" t="s">
        <v>82</v>
      </c>
      <c r="P20" t="str">
        <f>"NA                            "</f>
        <v xml:space="preserve">NA                            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33.520000000000003</v>
      </c>
      <c r="AR20">
        <v>0</v>
      </c>
      <c r="AS20">
        <v>0</v>
      </c>
      <c r="AT20">
        <v>0</v>
      </c>
      <c r="AU20">
        <v>0</v>
      </c>
      <c r="AV20">
        <v>0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1</v>
      </c>
      <c r="BI20">
        <v>1.3</v>
      </c>
      <c r="BJ20">
        <v>3</v>
      </c>
      <c r="BK20">
        <v>3</v>
      </c>
      <c r="BL20">
        <v>106.4</v>
      </c>
      <c r="BM20">
        <v>15.96</v>
      </c>
      <c r="BN20">
        <v>122.36</v>
      </c>
      <c r="BO20">
        <v>122.36</v>
      </c>
      <c r="BQ20" t="s">
        <v>194</v>
      </c>
      <c r="BR20" t="s">
        <v>195</v>
      </c>
      <c r="BS20" s="3">
        <v>45937</v>
      </c>
      <c r="BT20" s="4">
        <v>0.42430555555555555</v>
      </c>
      <c r="BU20" t="s">
        <v>196</v>
      </c>
      <c r="BV20" t="s">
        <v>86</v>
      </c>
      <c r="BY20">
        <v>15211.04</v>
      </c>
      <c r="BZ20" t="s">
        <v>87</v>
      </c>
      <c r="CA20" t="s">
        <v>197</v>
      </c>
      <c r="CC20" t="s">
        <v>76</v>
      </c>
      <c r="CD20">
        <v>4001</v>
      </c>
      <c r="CE20" t="s">
        <v>88</v>
      </c>
      <c r="CI20">
        <v>1</v>
      </c>
      <c r="CJ20">
        <v>1</v>
      </c>
      <c r="CK20">
        <v>21</v>
      </c>
      <c r="CL20" t="s">
        <v>89</v>
      </c>
    </row>
    <row r="21" spans="1:90" x14ac:dyDescent="0.3">
      <c r="A21" t="s">
        <v>72</v>
      </c>
      <c r="B21" t="s">
        <v>73</v>
      </c>
      <c r="C21" t="s">
        <v>74</v>
      </c>
      <c r="E21" t="str">
        <f>"080011641883"</f>
        <v>080011641883</v>
      </c>
      <c r="F21" s="3">
        <v>45937</v>
      </c>
      <c r="G21">
        <v>202607</v>
      </c>
      <c r="H21" t="s">
        <v>155</v>
      </c>
      <c r="I21" t="s">
        <v>156</v>
      </c>
      <c r="J21" t="s">
        <v>198</v>
      </c>
      <c r="K21" t="s">
        <v>78</v>
      </c>
      <c r="L21" t="s">
        <v>96</v>
      </c>
      <c r="M21" t="s">
        <v>97</v>
      </c>
      <c r="N21" t="s">
        <v>143</v>
      </c>
      <c r="O21" t="s">
        <v>101</v>
      </c>
      <c r="P21" t="str">
        <f>"-                             "</f>
        <v xml:space="preserve">-                             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5.87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43.23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0</v>
      </c>
      <c r="BF21">
        <v>0</v>
      </c>
      <c r="BG21">
        <v>0</v>
      </c>
      <c r="BH21">
        <v>2</v>
      </c>
      <c r="BI21">
        <v>10.1</v>
      </c>
      <c r="BJ21">
        <v>6.8</v>
      </c>
      <c r="BK21">
        <v>11</v>
      </c>
      <c r="BL21">
        <v>143.08000000000001</v>
      </c>
      <c r="BM21">
        <v>21.46</v>
      </c>
      <c r="BN21">
        <v>164.54</v>
      </c>
      <c r="BO21">
        <v>164.54</v>
      </c>
      <c r="BQ21" t="s">
        <v>199</v>
      </c>
      <c r="BR21" t="s">
        <v>200</v>
      </c>
      <c r="BS21" s="3">
        <v>45939</v>
      </c>
      <c r="BT21" s="4">
        <v>0.40625</v>
      </c>
      <c r="BU21" t="s">
        <v>201</v>
      </c>
      <c r="BV21" t="s">
        <v>86</v>
      </c>
      <c r="BY21">
        <v>34081.519999999997</v>
      </c>
      <c r="BZ21" t="s">
        <v>105</v>
      </c>
      <c r="CA21" t="s">
        <v>202</v>
      </c>
      <c r="CC21" t="s">
        <v>97</v>
      </c>
      <c r="CD21">
        <v>7824</v>
      </c>
      <c r="CE21" t="s">
        <v>88</v>
      </c>
      <c r="CF21" s="3">
        <v>45940</v>
      </c>
      <c r="CI21">
        <v>3</v>
      </c>
      <c r="CJ21">
        <v>2</v>
      </c>
      <c r="CK21">
        <v>41</v>
      </c>
      <c r="CL21" t="s">
        <v>89</v>
      </c>
    </row>
    <row r="22" spans="1:90" x14ac:dyDescent="0.3">
      <c r="A22" t="s">
        <v>72</v>
      </c>
      <c r="B22" t="s">
        <v>73</v>
      </c>
      <c r="C22" t="s">
        <v>74</v>
      </c>
      <c r="E22" t="str">
        <f>"009945160156"</f>
        <v>009945160156</v>
      </c>
      <c r="F22" s="3">
        <v>45937</v>
      </c>
      <c r="G22">
        <v>202607</v>
      </c>
      <c r="H22" t="s">
        <v>79</v>
      </c>
      <c r="I22" t="s">
        <v>80</v>
      </c>
      <c r="J22" t="s">
        <v>90</v>
      </c>
      <c r="K22" t="s">
        <v>78</v>
      </c>
      <c r="L22" t="s">
        <v>187</v>
      </c>
      <c r="M22" t="s">
        <v>188</v>
      </c>
      <c r="N22" t="s">
        <v>189</v>
      </c>
      <c r="O22" t="s">
        <v>82</v>
      </c>
      <c r="P22" t="str">
        <f>"11005500HR 460040             "</f>
        <v xml:space="preserve">11005500HR 460040             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22.36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1</v>
      </c>
      <c r="BI22">
        <v>1</v>
      </c>
      <c r="BJ22">
        <v>0.2</v>
      </c>
      <c r="BK22">
        <v>1</v>
      </c>
      <c r="BL22">
        <v>70.959999999999994</v>
      </c>
      <c r="BM22">
        <v>10.64</v>
      </c>
      <c r="BN22">
        <v>81.599999999999994</v>
      </c>
      <c r="BO22">
        <v>81.599999999999994</v>
      </c>
      <c r="BQ22" t="s">
        <v>203</v>
      </c>
      <c r="BR22" t="s">
        <v>204</v>
      </c>
      <c r="BS22" s="3">
        <v>45938</v>
      </c>
      <c r="BT22" s="4">
        <v>0.40625</v>
      </c>
      <c r="BU22" t="s">
        <v>205</v>
      </c>
      <c r="BV22" t="s">
        <v>86</v>
      </c>
      <c r="BY22">
        <v>1200</v>
      </c>
      <c r="BZ22" t="s">
        <v>87</v>
      </c>
      <c r="CA22" t="s">
        <v>95</v>
      </c>
      <c r="CC22" t="s">
        <v>188</v>
      </c>
      <c r="CD22">
        <v>3610</v>
      </c>
      <c r="CE22" t="s">
        <v>88</v>
      </c>
      <c r="CF22" s="3">
        <v>45938</v>
      </c>
      <c r="CI22">
        <v>1</v>
      </c>
      <c r="CJ22">
        <v>1</v>
      </c>
      <c r="CK22">
        <v>21</v>
      </c>
      <c r="CL22" t="s">
        <v>89</v>
      </c>
    </row>
    <row r="23" spans="1:90" x14ac:dyDescent="0.3">
      <c r="A23" t="s">
        <v>72</v>
      </c>
      <c r="B23" t="s">
        <v>73</v>
      </c>
      <c r="C23" t="s">
        <v>74</v>
      </c>
      <c r="E23" t="str">
        <f>"009945162281"</f>
        <v>009945162281</v>
      </c>
      <c r="F23" s="3">
        <v>45937</v>
      </c>
      <c r="G23">
        <v>202607</v>
      </c>
      <c r="H23" t="s">
        <v>79</v>
      </c>
      <c r="I23" t="s">
        <v>80</v>
      </c>
      <c r="J23" t="s">
        <v>90</v>
      </c>
      <c r="K23" t="s">
        <v>78</v>
      </c>
      <c r="L23" t="s">
        <v>96</v>
      </c>
      <c r="M23" t="s">
        <v>97</v>
      </c>
      <c r="N23" t="s">
        <v>135</v>
      </c>
      <c r="O23" t="s">
        <v>82</v>
      </c>
      <c r="P23" t="str">
        <f>"11005500HR 460040             "</f>
        <v xml:space="preserve">11005500HR 460040             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22.36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1</v>
      </c>
      <c r="BI23">
        <v>1</v>
      </c>
      <c r="BJ23">
        <v>0.2</v>
      </c>
      <c r="BK23">
        <v>1</v>
      </c>
      <c r="BL23">
        <v>70.959999999999994</v>
      </c>
      <c r="BM23">
        <v>10.64</v>
      </c>
      <c r="BN23">
        <v>81.599999999999994</v>
      </c>
      <c r="BO23">
        <v>81.599999999999994</v>
      </c>
      <c r="BQ23" t="s">
        <v>206</v>
      </c>
      <c r="BR23" t="s">
        <v>204</v>
      </c>
      <c r="BS23" s="3">
        <v>45938</v>
      </c>
      <c r="BT23" s="4">
        <v>0.45416666666666666</v>
      </c>
      <c r="BU23" t="s">
        <v>207</v>
      </c>
      <c r="BV23" t="s">
        <v>89</v>
      </c>
      <c r="BW23" t="s">
        <v>113</v>
      </c>
      <c r="BX23" t="s">
        <v>114</v>
      </c>
      <c r="BY23">
        <v>1200</v>
      </c>
      <c r="BZ23" t="s">
        <v>87</v>
      </c>
      <c r="CA23" t="s">
        <v>115</v>
      </c>
      <c r="CC23" t="s">
        <v>97</v>
      </c>
      <c r="CD23">
        <v>8000</v>
      </c>
      <c r="CE23" t="s">
        <v>88</v>
      </c>
      <c r="CF23" s="3">
        <v>45939</v>
      </c>
      <c r="CI23">
        <v>1</v>
      </c>
      <c r="CJ23">
        <v>1</v>
      </c>
      <c r="CK23">
        <v>21</v>
      </c>
      <c r="CL23" t="s">
        <v>89</v>
      </c>
    </row>
    <row r="24" spans="1:90" x14ac:dyDescent="0.3">
      <c r="A24" t="s">
        <v>72</v>
      </c>
      <c r="B24" t="s">
        <v>73</v>
      </c>
      <c r="C24" t="s">
        <v>74</v>
      </c>
      <c r="E24" t="str">
        <f>"009943425794"</f>
        <v>009943425794</v>
      </c>
      <c r="F24" s="3">
        <v>45937</v>
      </c>
      <c r="G24">
        <v>202607</v>
      </c>
      <c r="H24" t="s">
        <v>79</v>
      </c>
      <c r="I24" t="s">
        <v>80</v>
      </c>
      <c r="J24" t="s">
        <v>90</v>
      </c>
      <c r="K24" t="s">
        <v>78</v>
      </c>
      <c r="L24" t="s">
        <v>96</v>
      </c>
      <c r="M24" t="s">
        <v>97</v>
      </c>
      <c r="N24" t="s">
        <v>208</v>
      </c>
      <c r="O24" t="s">
        <v>82</v>
      </c>
      <c r="P24" t="str">
        <f>"11005500HR 460040             "</f>
        <v xml:space="preserve">11005500HR 460040             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22.36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1</v>
      </c>
      <c r="BI24">
        <v>1</v>
      </c>
      <c r="BJ24">
        <v>0.2</v>
      </c>
      <c r="BK24">
        <v>1</v>
      </c>
      <c r="BL24">
        <v>70.959999999999994</v>
      </c>
      <c r="BM24">
        <v>10.64</v>
      </c>
      <c r="BN24">
        <v>81.599999999999994</v>
      </c>
      <c r="BO24">
        <v>81.599999999999994</v>
      </c>
      <c r="BP24" t="s">
        <v>209</v>
      </c>
      <c r="BQ24" t="s">
        <v>210</v>
      </c>
      <c r="BR24" t="s">
        <v>211</v>
      </c>
      <c r="BS24" s="3">
        <v>45938</v>
      </c>
      <c r="BT24" s="4">
        <v>0.44583333333333336</v>
      </c>
      <c r="BU24" t="s">
        <v>212</v>
      </c>
      <c r="BV24" t="s">
        <v>89</v>
      </c>
      <c r="BW24" t="s">
        <v>113</v>
      </c>
      <c r="BX24" t="s">
        <v>114</v>
      </c>
      <c r="BY24">
        <v>1200</v>
      </c>
      <c r="BZ24" t="s">
        <v>87</v>
      </c>
      <c r="CA24" t="s">
        <v>213</v>
      </c>
      <c r="CC24" t="s">
        <v>97</v>
      </c>
      <c r="CD24">
        <v>8000</v>
      </c>
      <c r="CE24" t="s">
        <v>88</v>
      </c>
      <c r="CF24" s="3">
        <v>45939</v>
      </c>
      <c r="CI24">
        <v>1</v>
      </c>
      <c r="CJ24">
        <v>1</v>
      </c>
      <c r="CK24">
        <v>21</v>
      </c>
      <c r="CL24" t="s">
        <v>89</v>
      </c>
    </row>
    <row r="25" spans="1:90" x14ac:dyDescent="0.3">
      <c r="A25" t="s">
        <v>72</v>
      </c>
      <c r="B25" t="s">
        <v>73</v>
      </c>
      <c r="C25" t="s">
        <v>74</v>
      </c>
      <c r="E25" t="str">
        <f>"009944505566"</f>
        <v>009944505566</v>
      </c>
      <c r="F25" s="3">
        <v>45937</v>
      </c>
      <c r="G25">
        <v>202607</v>
      </c>
      <c r="H25" t="s">
        <v>79</v>
      </c>
      <c r="I25" t="s">
        <v>80</v>
      </c>
      <c r="J25" t="s">
        <v>90</v>
      </c>
      <c r="K25" t="s">
        <v>78</v>
      </c>
      <c r="L25" t="s">
        <v>96</v>
      </c>
      <c r="M25" t="s">
        <v>97</v>
      </c>
      <c r="N25" t="s">
        <v>214</v>
      </c>
      <c r="O25" t="s">
        <v>82</v>
      </c>
      <c r="P25" t="str">
        <f>"11005500HR 460040             "</f>
        <v xml:space="preserve">11005500HR 460040             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22.36</v>
      </c>
      <c r="AR25">
        <v>0</v>
      </c>
      <c r="AS25">
        <v>0</v>
      </c>
      <c r="AT25">
        <v>0</v>
      </c>
      <c r="AU25">
        <v>0</v>
      </c>
      <c r="AV25">
        <v>0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1</v>
      </c>
      <c r="BI25">
        <v>1</v>
      </c>
      <c r="BJ25">
        <v>0.2</v>
      </c>
      <c r="BK25">
        <v>1</v>
      </c>
      <c r="BL25">
        <v>70.959999999999994</v>
      </c>
      <c r="BM25">
        <v>10.64</v>
      </c>
      <c r="BN25">
        <v>81.599999999999994</v>
      </c>
      <c r="BO25">
        <v>81.599999999999994</v>
      </c>
      <c r="BQ25" t="s">
        <v>215</v>
      </c>
      <c r="BR25" t="s">
        <v>204</v>
      </c>
      <c r="BS25" s="3">
        <v>45938</v>
      </c>
      <c r="BT25" s="4">
        <v>0.41666666666666669</v>
      </c>
      <c r="BU25" t="s">
        <v>216</v>
      </c>
      <c r="BV25" t="s">
        <v>86</v>
      </c>
      <c r="BY25">
        <v>1200</v>
      </c>
      <c r="BZ25" t="s">
        <v>87</v>
      </c>
      <c r="CC25" t="s">
        <v>97</v>
      </c>
      <c r="CD25">
        <v>8001</v>
      </c>
      <c r="CE25" t="s">
        <v>88</v>
      </c>
      <c r="CF25" s="3">
        <v>45939</v>
      </c>
      <c r="CI25">
        <v>1</v>
      </c>
      <c r="CJ25">
        <v>1</v>
      </c>
      <c r="CK25">
        <v>21</v>
      </c>
      <c r="CL25" t="s">
        <v>89</v>
      </c>
    </row>
    <row r="26" spans="1:90" x14ac:dyDescent="0.3">
      <c r="A26" t="s">
        <v>72</v>
      </c>
      <c r="B26" t="s">
        <v>73</v>
      </c>
      <c r="C26" t="s">
        <v>74</v>
      </c>
      <c r="E26" t="str">
        <f>"009944505567"</f>
        <v>009944505567</v>
      </c>
      <c r="F26" s="3">
        <v>45937</v>
      </c>
      <c r="G26">
        <v>202607</v>
      </c>
      <c r="H26" t="s">
        <v>79</v>
      </c>
      <c r="I26" t="s">
        <v>80</v>
      </c>
      <c r="J26" t="s">
        <v>90</v>
      </c>
      <c r="K26" t="s">
        <v>78</v>
      </c>
      <c r="L26" t="s">
        <v>96</v>
      </c>
      <c r="M26" t="s">
        <v>97</v>
      </c>
      <c r="N26" t="s">
        <v>214</v>
      </c>
      <c r="O26" t="s">
        <v>82</v>
      </c>
      <c r="P26" t="str">
        <f>"11005000 460040               "</f>
        <v xml:space="preserve">11005000 460040               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22.36</v>
      </c>
      <c r="AR26">
        <v>0</v>
      </c>
      <c r="AS26">
        <v>0</v>
      </c>
      <c r="AT26">
        <v>0</v>
      </c>
      <c r="AU26">
        <v>0</v>
      </c>
      <c r="AV26">
        <v>0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1</v>
      </c>
      <c r="BI26">
        <v>1</v>
      </c>
      <c r="BJ26">
        <v>0.2</v>
      </c>
      <c r="BK26">
        <v>1</v>
      </c>
      <c r="BL26">
        <v>70.959999999999994</v>
      </c>
      <c r="BM26">
        <v>10.64</v>
      </c>
      <c r="BN26">
        <v>81.599999999999994</v>
      </c>
      <c r="BO26">
        <v>81.599999999999994</v>
      </c>
      <c r="BQ26" t="s">
        <v>217</v>
      </c>
      <c r="BR26" t="s">
        <v>195</v>
      </c>
      <c r="BS26" s="3">
        <v>45938</v>
      </c>
      <c r="BT26" s="4">
        <v>0.41666666666666669</v>
      </c>
      <c r="BU26" t="s">
        <v>216</v>
      </c>
      <c r="BV26" t="s">
        <v>86</v>
      </c>
      <c r="BY26">
        <v>1200</v>
      </c>
      <c r="BZ26" t="s">
        <v>87</v>
      </c>
      <c r="CC26" t="s">
        <v>97</v>
      </c>
      <c r="CD26">
        <v>8001</v>
      </c>
      <c r="CE26" t="s">
        <v>88</v>
      </c>
      <c r="CF26" s="3">
        <v>45939</v>
      </c>
      <c r="CI26">
        <v>1</v>
      </c>
      <c r="CJ26">
        <v>1</v>
      </c>
      <c r="CK26">
        <v>21</v>
      </c>
      <c r="CL26" t="s">
        <v>89</v>
      </c>
    </row>
    <row r="27" spans="1:90" x14ac:dyDescent="0.3">
      <c r="A27" t="s">
        <v>72</v>
      </c>
      <c r="B27" t="s">
        <v>73</v>
      </c>
      <c r="C27" t="s">
        <v>74</v>
      </c>
      <c r="E27" t="str">
        <f>"009944505565"</f>
        <v>009944505565</v>
      </c>
      <c r="F27" s="3">
        <v>45937</v>
      </c>
      <c r="G27">
        <v>202607</v>
      </c>
      <c r="H27" t="s">
        <v>79</v>
      </c>
      <c r="I27" t="s">
        <v>80</v>
      </c>
      <c r="J27" t="s">
        <v>90</v>
      </c>
      <c r="K27" t="s">
        <v>78</v>
      </c>
      <c r="L27" t="s">
        <v>96</v>
      </c>
      <c r="M27" t="s">
        <v>97</v>
      </c>
      <c r="N27" t="s">
        <v>214</v>
      </c>
      <c r="O27" t="s">
        <v>82</v>
      </c>
      <c r="P27" t="str">
        <f>"11005000BT 402190             "</f>
        <v xml:space="preserve">11005000BT 402190             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22.36</v>
      </c>
      <c r="AR27">
        <v>0</v>
      </c>
      <c r="AS27">
        <v>0</v>
      </c>
      <c r="AT27">
        <v>0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1</v>
      </c>
      <c r="BI27">
        <v>1</v>
      </c>
      <c r="BJ27">
        <v>0.2</v>
      </c>
      <c r="BK27">
        <v>1</v>
      </c>
      <c r="BL27">
        <v>70.959999999999994</v>
      </c>
      <c r="BM27">
        <v>10.64</v>
      </c>
      <c r="BN27">
        <v>81.599999999999994</v>
      </c>
      <c r="BO27">
        <v>81.599999999999994</v>
      </c>
      <c r="BQ27" t="s">
        <v>218</v>
      </c>
      <c r="BR27" t="s">
        <v>191</v>
      </c>
      <c r="BS27" s="3">
        <v>45938</v>
      </c>
      <c r="BT27" s="4">
        <v>0.41666666666666669</v>
      </c>
      <c r="BU27" t="s">
        <v>216</v>
      </c>
      <c r="BV27" t="s">
        <v>86</v>
      </c>
      <c r="BY27">
        <v>1200</v>
      </c>
      <c r="BZ27" t="s">
        <v>87</v>
      </c>
      <c r="CC27" t="s">
        <v>97</v>
      </c>
      <c r="CD27">
        <v>8001</v>
      </c>
      <c r="CE27" t="s">
        <v>88</v>
      </c>
      <c r="CF27" s="3">
        <v>45939</v>
      </c>
      <c r="CI27">
        <v>1</v>
      </c>
      <c r="CJ27">
        <v>1</v>
      </c>
      <c r="CK27">
        <v>21</v>
      </c>
      <c r="CL27" t="s">
        <v>89</v>
      </c>
    </row>
    <row r="28" spans="1:90" x14ac:dyDescent="0.3">
      <c r="A28" t="s">
        <v>72</v>
      </c>
      <c r="B28" t="s">
        <v>73</v>
      </c>
      <c r="C28" t="s">
        <v>74</v>
      </c>
      <c r="E28" t="str">
        <f>"009944219398"</f>
        <v>009944219398</v>
      </c>
      <c r="F28" s="3">
        <v>45937</v>
      </c>
      <c r="G28">
        <v>202607</v>
      </c>
      <c r="H28" t="s">
        <v>79</v>
      </c>
      <c r="I28" t="s">
        <v>80</v>
      </c>
      <c r="J28" t="s">
        <v>90</v>
      </c>
      <c r="K28" t="s">
        <v>78</v>
      </c>
      <c r="L28" t="s">
        <v>75</v>
      </c>
      <c r="M28" t="s">
        <v>76</v>
      </c>
      <c r="N28" t="s">
        <v>193</v>
      </c>
      <c r="O28" t="s">
        <v>101</v>
      </c>
      <c r="P28" t="str">
        <f>"11116561PC 402190             "</f>
        <v xml:space="preserve">11116561PC 402190             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5.87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43.23</v>
      </c>
      <c r="AR28">
        <v>0</v>
      </c>
      <c r="AS28">
        <v>0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1</v>
      </c>
      <c r="BI28">
        <v>1</v>
      </c>
      <c r="BJ28">
        <v>0.2</v>
      </c>
      <c r="BK28">
        <v>1</v>
      </c>
      <c r="BL28">
        <v>143.08000000000001</v>
      </c>
      <c r="BM28">
        <v>21.46</v>
      </c>
      <c r="BN28">
        <v>164.54</v>
      </c>
      <c r="BO28">
        <v>164.54</v>
      </c>
      <c r="BQ28" t="s">
        <v>219</v>
      </c>
      <c r="BR28" t="s">
        <v>93</v>
      </c>
      <c r="BS28" s="3">
        <v>45939</v>
      </c>
      <c r="BT28" s="4">
        <v>0.42152777777777778</v>
      </c>
      <c r="BU28" t="s">
        <v>220</v>
      </c>
      <c r="BV28" t="s">
        <v>89</v>
      </c>
      <c r="BW28" t="s">
        <v>132</v>
      </c>
      <c r="BX28" t="s">
        <v>221</v>
      </c>
      <c r="BY28">
        <v>1200</v>
      </c>
      <c r="BZ28" t="s">
        <v>105</v>
      </c>
      <c r="CA28" t="s">
        <v>197</v>
      </c>
      <c r="CC28" t="s">
        <v>76</v>
      </c>
      <c r="CD28">
        <v>4001</v>
      </c>
      <c r="CE28" t="s">
        <v>88</v>
      </c>
      <c r="CF28" s="3">
        <v>45940</v>
      </c>
      <c r="CI28">
        <v>1</v>
      </c>
      <c r="CJ28">
        <v>2</v>
      </c>
      <c r="CK28">
        <v>41</v>
      </c>
      <c r="CL28" t="s">
        <v>89</v>
      </c>
    </row>
    <row r="29" spans="1:90" x14ac:dyDescent="0.3">
      <c r="A29" t="s">
        <v>72</v>
      </c>
      <c r="B29" t="s">
        <v>73</v>
      </c>
      <c r="C29" t="s">
        <v>74</v>
      </c>
      <c r="E29" t="str">
        <f>"009943401921"</f>
        <v>009943401921</v>
      </c>
      <c r="F29" s="3">
        <v>45938</v>
      </c>
      <c r="G29">
        <v>202607</v>
      </c>
      <c r="H29" t="s">
        <v>222</v>
      </c>
      <c r="I29" t="s">
        <v>223</v>
      </c>
      <c r="J29" t="s">
        <v>98</v>
      </c>
      <c r="K29" t="s">
        <v>78</v>
      </c>
      <c r="L29" t="s">
        <v>224</v>
      </c>
      <c r="M29" t="s">
        <v>225</v>
      </c>
      <c r="N29" t="s">
        <v>226</v>
      </c>
      <c r="O29" t="s">
        <v>101</v>
      </c>
      <c r="P29" t="str">
        <f>"                              "</f>
        <v xml:space="preserve">                              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5.87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43.23</v>
      </c>
      <c r="AR29">
        <v>0</v>
      </c>
      <c r="AS29">
        <v>0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1</v>
      </c>
      <c r="BI29">
        <v>1</v>
      </c>
      <c r="BJ29">
        <v>0.2</v>
      </c>
      <c r="BK29">
        <v>1</v>
      </c>
      <c r="BL29">
        <v>143.08000000000001</v>
      </c>
      <c r="BM29">
        <v>21.46</v>
      </c>
      <c r="BN29">
        <v>164.54</v>
      </c>
      <c r="BO29">
        <v>164.54</v>
      </c>
      <c r="BQ29" t="s">
        <v>227</v>
      </c>
      <c r="BR29" t="s">
        <v>228</v>
      </c>
      <c r="BS29" s="3">
        <v>45939</v>
      </c>
      <c r="BT29" s="4">
        <v>0.51736111111111116</v>
      </c>
      <c r="BU29" t="s">
        <v>227</v>
      </c>
      <c r="BV29" t="s">
        <v>86</v>
      </c>
      <c r="BY29">
        <v>1200</v>
      </c>
      <c r="BZ29" t="s">
        <v>105</v>
      </c>
      <c r="CA29">
        <v>8303236124087</v>
      </c>
      <c r="CC29" t="s">
        <v>225</v>
      </c>
      <c r="CD29" s="5" t="s">
        <v>229</v>
      </c>
      <c r="CE29" t="s">
        <v>88</v>
      </c>
      <c r="CF29" s="3">
        <v>45939</v>
      </c>
      <c r="CI29">
        <v>1</v>
      </c>
      <c r="CJ29">
        <v>1</v>
      </c>
      <c r="CK29">
        <v>41</v>
      </c>
      <c r="CL29" t="s">
        <v>89</v>
      </c>
    </row>
    <row r="30" spans="1:90" x14ac:dyDescent="0.3">
      <c r="A30" t="s">
        <v>72</v>
      </c>
      <c r="B30" t="s">
        <v>73</v>
      </c>
      <c r="C30" t="s">
        <v>74</v>
      </c>
      <c r="E30" t="str">
        <f>"009944219397"</f>
        <v>009944219397</v>
      </c>
      <c r="F30" s="3">
        <v>45938</v>
      </c>
      <c r="G30">
        <v>202607</v>
      </c>
      <c r="H30" t="s">
        <v>79</v>
      </c>
      <c r="I30" t="s">
        <v>80</v>
      </c>
      <c r="J30" t="s">
        <v>90</v>
      </c>
      <c r="K30" t="s">
        <v>78</v>
      </c>
      <c r="L30" t="s">
        <v>75</v>
      </c>
      <c r="M30" t="s">
        <v>76</v>
      </c>
      <c r="N30" t="s">
        <v>230</v>
      </c>
      <c r="O30" t="s">
        <v>82</v>
      </c>
      <c r="P30" t="str">
        <f>"11002999T 460650              "</f>
        <v xml:space="preserve">11002999T 460650              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44.69</v>
      </c>
      <c r="AR30">
        <v>0</v>
      </c>
      <c r="AS30">
        <v>0</v>
      </c>
      <c r="AT30">
        <v>0</v>
      </c>
      <c r="AU30">
        <v>0</v>
      </c>
      <c r="AV30">
        <v>0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1</v>
      </c>
      <c r="BI30">
        <v>1.8</v>
      </c>
      <c r="BJ30">
        <v>3.8</v>
      </c>
      <c r="BK30">
        <v>4</v>
      </c>
      <c r="BL30">
        <v>141.85</v>
      </c>
      <c r="BM30">
        <v>21.28</v>
      </c>
      <c r="BN30">
        <v>163.13</v>
      </c>
      <c r="BO30">
        <v>163.13</v>
      </c>
      <c r="BP30" t="s">
        <v>231</v>
      </c>
      <c r="BQ30" t="s">
        <v>232</v>
      </c>
      <c r="BR30" t="s">
        <v>233</v>
      </c>
      <c r="BS30" s="3">
        <v>45939</v>
      </c>
      <c r="BT30" s="4">
        <v>0.42152777777777778</v>
      </c>
      <c r="BU30" t="s">
        <v>220</v>
      </c>
      <c r="BV30" t="s">
        <v>86</v>
      </c>
      <c r="BY30">
        <v>19044.09</v>
      </c>
      <c r="BZ30" t="s">
        <v>87</v>
      </c>
      <c r="CA30" t="s">
        <v>197</v>
      </c>
      <c r="CC30" t="s">
        <v>76</v>
      </c>
      <c r="CD30">
        <v>4001</v>
      </c>
      <c r="CE30" t="s">
        <v>88</v>
      </c>
      <c r="CF30" s="3">
        <v>45940</v>
      </c>
      <c r="CI30">
        <v>1</v>
      </c>
      <c r="CJ30">
        <v>1</v>
      </c>
      <c r="CK30">
        <v>21</v>
      </c>
      <c r="CL30" t="s">
        <v>89</v>
      </c>
    </row>
    <row r="31" spans="1:90" x14ac:dyDescent="0.3">
      <c r="A31" t="s">
        <v>72</v>
      </c>
      <c r="B31" t="s">
        <v>73</v>
      </c>
      <c r="C31" t="s">
        <v>74</v>
      </c>
      <c r="E31" t="str">
        <f>"009943425378"</f>
        <v>009943425378</v>
      </c>
      <c r="F31" s="3">
        <v>45938</v>
      </c>
      <c r="G31">
        <v>202607</v>
      </c>
      <c r="H31" t="s">
        <v>79</v>
      </c>
      <c r="I31" t="s">
        <v>80</v>
      </c>
      <c r="J31" t="s">
        <v>90</v>
      </c>
      <c r="K31" t="s">
        <v>78</v>
      </c>
      <c r="L31" t="s">
        <v>75</v>
      </c>
      <c r="M31" t="s">
        <v>76</v>
      </c>
      <c r="N31" t="s">
        <v>234</v>
      </c>
      <c r="O31" t="s">
        <v>82</v>
      </c>
      <c r="P31" t="str">
        <f>"11116561PC 42190              "</f>
        <v xml:space="preserve">11116561PC 42190              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44.69</v>
      </c>
      <c r="AR31">
        <v>0</v>
      </c>
      <c r="AS31">
        <v>0</v>
      </c>
      <c r="AT31">
        <v>0</v>
      </c>
      <c r="AU31">
        <v>0</v>
      </c>
      <c r="AV31">
        <v>0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1</v>
      </c>
      <c r="BI31">
        <v>1.7</v>
      </c>
      <c r="BJ31">
        <v>3.8</v>
      </c>
      <c r="BK31">
        <v>4</v>
      </c>
      <c r="BL31">
        <v>141.85</v>
      </c>
      <c r="BM31">
        <v>21.28</v>
      </c>
      <c r="BN31">
        <v>163.13</v>
      </c>
      <c r="BO31">
        <v>163.13</v>
      </c>
      <c r="BP31" t="s">
        <v>231</v>
      </c>
      <c r="BQ31" t="s">
        <v>235</v>
      </c>
      <c r="BR31" t="s">
        <v>93</v>
      </c>
      <c r="BS31" s="3">
        <v>45939</v>
      </c>
      <c r="BT31" s="4">
        <v>0.63124999999999998</v>
      </c>
      <c r="BU31" t="s">
        <v>236</v>
      </c>
      <c r="BV31" t="s">
        <v>89</v>
      </c>
      <c r="BW31" t="s">
        <v>132</v>
      </c>
      <c r="BX31" t="s">
        <v>237</v>
      </c>
      <c r="BY31">
        <v>18892.5</v>
      </c>
      <c r="BZ31" t="s">
        <v>87</v>
      </c>
      <c r="CA31" t="s">
        <v>238</v>
      </c>
      <c r="CC31" t="s">
        <v>76</v>
      </c>
      <c r="CD31">
        <v>4052</v>
      </c>
      <c r="CE31" t="s">
        <v>88</v>
      </c>
      <c r="CF31" s="3">
        <v>45939</v>
      </c>
      <c r="CI31">
        <v>1</v>
      </c>
      <c r="CJ31">
        <v>1</v>
      </c>
      <c r="CK31">
        <v>21</v>
      </c>
      <c r="CL31" t="s">
        <v>89</v>
      </c>
    </row>
    <row r="32" spans="1:90" x14ac:dyDescent="0.3">
      <c r="A32" t="s">
        <v>72</v>
      </c>
      <c r="B32" t="s">
        <v>73</v>
      </c>
      <c r="C32" t="s">
        <v>74</v>
      </c>
      <c r="E32" t="str">
        <f>"009944225383"</f>
        <v>009944225383</v>
      </c>
      <c r="F32" s="3">
        <v>45938</v>
      </c>
      <c r="G32">
        <v>202607</v>
      </c>
      <c r="H32" t="s">
        <v>96</v>
      </c>
      <c r="I32" t="s">
        <v>97</v>
      </c>
      <c r="J32" t="s">
        <v>143</v>
      </c>
      <c r="K32" t="s">
        <v>78</v>
      </c>
      <c r="L32" t="s">
        <v>155</v>
      </c>
      <c r="M32" t="s">
        <v>156</v>
      </c>
      <c r="N32" t="s">
        <v>239</v>
      </c>
      <c r="O32" t="s">
        <v>82</v>
      </c>
      <c r="P32" t="str">
        <f>"CPT                           "</f>
        <v xml:space="preserve">CPT                           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22.36</v>
      </c>
      <c r="AR32">
        <v>0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1</v>
      </c>
      <c r="BI32">
        <v>0.1</v>
      </c>
      <c r="BJ32">
        <v>0.9</v>
      </c>
      <c r="BK32">
        <v>1</v>
      </c>
      <c r="BL32">
        <v>70.959999999999994</v>
      </c>
      <c r="BM32">
        <v>10.64</v>
      </c>
      <c r="BN32">
        <v>81.599999999999994</v>
      </c>
      <c r="BO32">
        <v>81.599999999999994</v>
      </c>
      <c r="BQ32" t="s">
        <v>240</v>
      </c>
      <c r="BR32" t="s">
        <v>241</v>
      </c>
      <c r="BS32" s="3">
        <v>45940</v>
      </c>
      <c r="BT32" s="4">
        <v>0.34583333333333333</v>
      </c>
      <c r="BU32" t="s">
        <v>242</v>
      </c>
      <c r="BV32" t="s">
        <v>89</v>
      </c>
      <c r="BY32">
        <v>4400.3999999999996</v>
      </c>
      <c r="BZ32" t="s">
        <v>87</v>
      </c>
      <c r="CA32" t="s">
        <v>159</v>
      </c>
      <c r="CC32" t="s">
        <v>156</v>
      </c>
      <c r="CD32">
        <v>1683</v>
      </c>
      <c r="CE32" t="s">
        <v>88</v>
      </c>
      <c r="CF32" s="3">
        <v>45941</v>
      </c>
      <c r="CI32">
        <v>1</v>
      </c>
      <c r="CJ32">
        <v>2</v>
      </c>
      <c r="CK32">
        <v>21</v>
      </c>
      <c r="CL32" t="s">
        <v>89</v>
      </c>
    </row>
    <row r="33" spans="1:91" x14ac:dyDescent="0.3">
      <c r="A33" t="s">
        <v>72</v>
      </c>
      <c r="B33" t="s">
        <v>73</v>
      </c>
      <c r="C33" t="s">
        <v>74</v>
      </c>
      <c r="E33" t="str">
        <f>"009944781965"</f>
        <v>009944781965</v>
      </c>
      <c r="F33" s="3">
        <v>45929</v>
      </c>
      <c r="G33">
        <v>202607</v>
      </c>
      <c r="H33" t="s">
        <v>96</v>
      </c>
      <c r="I33" t="s">
        <v>97</v>
      </c>
      <c r="J33" t="s">
        <v>143</v>
      </c>
      <c r="K33" t="s">
        <v>78</v>
      </c>
      <c r="L33" t="s">
        <v>155</v>
      </c>
      <c r="M33" t="s">
        <v>156</v>
      </c>
      <c r="N33" t="s">
        <v>143</v>
      </c>
      <c r="O33" t="s">
        <v>101</v>
      </c>
      <c r="P33" t="str">
        <f>"CAPE TOWN                     "</f>
        <v xml:space="preserve">CAPE TOWN                     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5.87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103.91</v>
      </c>
      <c r="AR33">
        <v>0</v>
      </c>
      <c r="AS33">
        <v>0</v>
      </c>
      <c r="AT33">
        <v>0</v>
      </c>
      <c r="AU33">
        <v>0</v>
      </c>
      <c r="AV33">
        <v>0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2</v>
      </c>
      <c r="BI33">
        <v>26.2</v>
      </c>
      <c r="BJ33">
        <v>48.3</v>
      </c>
      <c r="BK33">
        <v>49</v>
      </c>
      <c r="BL33">
        <v>335.68</v>
      </c>
      <c r="BM33">
        <v>50.35</v>
      </c>
      <c r="BN33">
        <v>386.03</v>
      </c>
      <c r="BO33">
        <v>386.03</v>
      </c>
      <c r="BQ33" t="s">
        <v>243</v>
      </c>
      <c r="BR33" t="s">
        <v>148</v>
      </c>
      <c r="BS33" s="3">
        <v>45930</v>
      </c>
      <c r="BT33" s="4">
        <v>0.41458333333333336</v>
      </c>
      <c r="BU33" t="s">
        <v>244</v>
      </c>
      <c r="BV33" t="s">
        <v>86</v>
      </c>
      <c r="BY33">
        <v>241574.97</v>
      </c>
      <c r="BZ33" t="s">
        <v>245</v>
      </c>
      <c r="CA33" t="s">
        <v>159</v>
      </c>
      <c r="CC33" t="s">
        <v>156</v>
      </c>
      <c r="CD33">
        <v>1683</v>
      </c>
      <c r="CE33" t="s">
        <v>88</v>
      </c>
      <c r="CF33" s="3">
        <v>45931</v>
      </c>
      <c r="CI33">
        <v>2</v>
      </c>
      <c r="CJ33">
        <v>1</v>
      </c>
      <c r="CK33">
        <v>41</v>
      </c>
      <c r="CL33" t="s">
        <v>89</v>
      </c>
    </row>
    <row r="34" spans="1:91" x14ac:dyDescent="0.3">
      <c r="A34" t="s">
        <v>72</v>
      </c>
      <c r="B34" t="s">
        <v>73</v>
      </c>
      <c r="C34" t="s">
        <v>74</v>
      </c>
      <c r="E34" t="str">
        <f>"080011644410"</f>
        <v>080011644410</v>
      </c>
      <c r="F34" s="3">
        <v>45939</v>
      </c>
      <c r="G34">
        <v>202607</v>
      </c>
      <c r="H34" t="s">
        <v>126</v>
      </c>
      <c r="I34" t="s">
        <v>127</v>
      </c>
      <c r="J34" t="s">
        <v>246</v>
      </c>
      <c r="K34" t="s">
        <v>78</v>
      </c>
      <c r="L34" t="s">
        <v>96</v>
      </c>
      <c r="M34" t="s">
        <v>97</v>
      </c>
      <c r="N34" t="s">
        <v>247</v>
      </c>
      <c r="O34" t="s">
        <v>101</v>
      </c>
      <c r="P34" t="str">
        <f>"-                             "</f>
        <v xml:space="preserve">-                             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5.87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43.23</v>
      </c>
      <c r="AR34">
        <v>0</v>
      </c>
      <c r="AS34">
        <v>0</v>
      </c>
      <c r="AT34">
        <v>0</v>
      </c>
      <c r="AU34">
        <v>0</v>
      </c>
      <c r="AV34">
        <v>0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1</v>
      </c>
      <c r="BI34">
        <v>1</v>
      </c>
      <c r="BJ34">
        <v>9</v>
      </c>
      <c r="BK34">
        <v>9</v>
      </c>
      <c r="BL34">
        <v>143.08000000000001</v>
      </c>
      <c r="BM34">
        <v>21.46</v>
      </c>
      <c r="BN34">
        <v>164.54</v>
      </c>
      <c r="BO34">
        <v>164.54</v>
      </c>
      <c r="BQ34" t="s">
        <v>248</v>
      </c>
      <c r="BR34" t="s">
        <v>249</v>
      </c>
      <c r="BS34" s="3">
        <v>45943</v>
      </c>
      <c r="BT34" s="4">
        <v>0.59305555555555556</v>
      </c>
      <c r="BU34" t="s">
        <v>201</v>
      </c>
      <c r="BV34" t="s">
        <v>86</v>
      </c>
      <c r="BY34">
        <v>45167</v>
      </c>
      <c r="BZ34" t="s">
        <v>105</v>
      </c>
      <c r="CA34" t="s">
        <v>202</v>
      </c>
      <c r="CC34" t="s">
        <v>97</v>
      </c>
      <c r="CD34">
        <v>7824</v>
      </c>
      <c r="CE34" t="s">
        <v>88</v>
      </c>
      <c r="CF34" s="3">
        <v>45944</v>
      </c>
      <c r="CI34">
        <v>3</v>
      </c>
      <c r="CJ34">
        <v>2</v>
      </c>
      <c r="CK34">
        <v>41</v>
      </c>
      <c r="CL34" t="s">
        <v>89</v>
      </c>
    </row>
    <row r="35" spans="1:91" x14ac:dyDescent="0.3">
      <c r="A35" t="s">
        <v>72</v>
      </c>
      <c r="B35" t="s">
        <v>73</v>
      </c>
      <c r="C35" t="s">
        <v>74</v>
      </c>
      <c r="E35" t="str">
        <f>"009943425376"</f>
        <v>009943425376</v>
      </c>
      <c r="F35" s="3">
        <v>45939</v>
      </c>
      <c r="G35">
        <v>202607</v>
      </c>
      <c r="H35" t="s">
        <v>79</v>
      </c>
      <c r="I35" t="s">
        <v>80</v>
      </c>
      <c r="J35" t="s">
        <v>90</v>
      </c>
      <c r="K35" t="s">
        <v>78</v>
      </c>
      <c r="L35" t="s">
        <v>96</v>
      </c>
      <c r="M35" t="s">
        <v>97</v>
      </c>
      <c r="N35" t="s">
        <v>250</v>
      </c>
      <c r="O35" t="s">
        <v>101</v>
      </c>
      <c r="P35" t="str">
        <f>"16142660DI                    "</f>
        <v xml:space="preserve">16142660DI                    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5.87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43.23</v>
      </c>
      <c r="AR35">
        <v>0</v>
      </c>
      <c r="AS35">
        <v>0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4</v>
      </c>
      <c r="BI35">
        <v>12.8</v>
      </c>
      <c r="BJ35">
        <v>9.3000000000000007</v>
      </c>
      <c r="BK35">
        <v>13</v>
      </c>
      <c r="BL35">
        <v>143.08000000000001</v>
      </c>
      <c r="BM35">
        <v>21.46</v>
      </c>
      <c r="BN35">
        <v>164.54</v>
      </c>
      <c r="BO35">
        <v>164.54</v>
      </c>
      <c r="BQ35" t="s">
        <v>251</v>
      </c>
      <c r="BR35" t="s">
        <v>252</v>
      </c>
      <c r="BS35" s="3">
        <v>45945</v>
      </c>
      <c r="BT35" s="4">
        <v>0.6381944444444444</v>
      </c>
      <c r="BU35" t="s">
        <v>253</v>
      </c>
      <c r="BV35" t="s">
        <v>89</v>
      </c>
      <c r="BW35" t="s">
        <v>113</v>
      </c>
      <c r="BX35" t="s">
        <v>254</v>
      </c>
      <c r="BY35">
        <v>46642.76</v>
      </c>
      <c r="BZ35" t="s">
        <v>105</v>
      </c>
      <c r="CA35" t="s">
        <v>255</v>
      </c>
      <c r="CC35" t="s">
        <v>97</v>
      </c>
      <c r="CD35">
        <v>7560</v>
      </c>
      <c r="CE35" t="s">
        <v>88</v>
      </c>
      <c r="CF35" s="3">
        <v>45946</v>
      </c>
      <c r="CI35">
        <v>3</v>
      </c>
      <c r="CJ35">
        <v>4</v>
      </c>
      <c r="CK35">
        <v>41</v>
      </c>
      <c r="CL35" t="s">
        <v>89</v>
      </c>
    </row>
    <row r="36" spans="1:91" x14ac:dyDescent="0.3">
      <c r="A36" t="s">
        <v>72</v>
      </c>
      <c r="B36" t="s">
        <v>73</v>
      </c>
      <c r="C36" t="s">
        <v>74</v>
      </c>
      <c r="E36" t="str">
        <f>"009945160154"</f>
        <v>009945160154</v>
      </c>
      <c r="F36" s="3">
        <v>45939</v>
      </c>
      <c r="G36">
        <v>202607</v>
      </c>
      <c r="H36" t="s">
        <v>79</v>
      </c>
      <c r="I36" t="s">
        <v>80</v>
      </c>
      <c r="J36" t="s">
        <v>90</v>
      </c>
      <c r="K36" t="s">
        <v>78</v>
      </c>
      <c r="L36" t="s">
        <v>187</v>
      </c>
      <c r="M36" t="s">
        <v>188</v>
      </c>
      <c r="N36" t="s">
        <v>189</v>
      </c>
      <c r="O36" t="s">
        <v>82</v>
      </c>
      <c r="P36" t="str">
        <f>"11116561PC 402190             "</f>
        <v xml:space="preserve">11116561PC 402190             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190.46</v>
      </c>
      <c r="AN36">
        <v>0</v>
      </c>
      <c r="AO36">
        <v>0</v>
      </c>
      <c r="AP36">
        <v>0</v>
      </c>
      <c r="AQ36">
        <v>22.36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1</v>
      </c>
      <c r="BI36">
        <v>1</v>
      </c>
      <c r="BJ36">
        <v>0.2</v>
      </c>
      <c r="BK36">
        <v>1</v>
      </c>
      <c r="BL36">
        <v>261.42</v>
      </c>
      <c r="BM36">
        <v>39.21</v>
      </c>
      <c r="BN36">
        <v>300.63</v>
      </c>
      <c r="BO36">
        <v>300.63</v>
      </c>
      <c r="BQ36" t="s">
        <v>256</v>
      </c>
      <c r="BR36" t="s">
        <v>93</v>
      </c>
      <c r="BS36" s="3">
        <v>45940</v>
      </c>
      <c r="BT36" s="4">
        <v>0.37708333333333333</v>
      </c>
      <c r="BU36" t="s">
        <v>192</v>
      </c>
      <c r="BV36" t="s">
        <v>86</v>
      </c>
      <c r="BY36">
        <v>1200</v>
      </c>
      <c r="BZ36" t="s">
        <v>257</v>
      </c>
      <c r="CA36" t="s">
        <v>95</v>
      </c>
      <c r="CC36" t="s">
        <v>188</v>
      </c>
      <c r="CD36">
        <v>3610</v>
      </c>
      <c r="CE36" t="s">
        <v>88</v>
      </c>
      <c r="CF36" s="3">
        <v>45941</v>
      </c>
      <c r="CI36">
        <v>1</v>
      </c>
      <c r="CJ36">
        <v>1</v>
      </c>
      <c r="CK36">
        <v>21</v>
      </c>
      <c r="CL36" t="s">
        <v>86</v>
      </c>
      <c r="CM36" s="4">
        <v>0.37708333333333333</v>
      </c>
    </row>
    <row r="37" spans="1:91" x14ac:dyDescent="0.3">
      <c r="A37" t="s">
        <v>72</v>
      </c>
      <c r="B37" t="s">
        <v>73</v>
      </c>
      <c r="C37" t="s">
        <v>74</v>
      </c>
      <c r="E37" t="str">
        <f>"009943425377"</f>
        <v>009943425377</v>
      </c>
      <c r="F37" s="3">
        <v>45939</v>
      </c>
      <c r="G37">
        <v>202607</v>
      </c>
      <c r="H37" t="s">
        <v>79</v>
      </c>
      <c r="I37" t="s">
        <v>80</v>
      </c>
      <c r="J37" t="s">
        <v>90</v>
      </c>
      <c r="K37" t="s">
        <v>78</v>
      </c>
      <c r="L37" t="s">
        <v>75</v>
      </c>
      <c r="M37" t="s">
        <v>76</v>
      </c>
      <c r="N37" t="s">
        <v>258</v>
      </c>
      <c r="O37" t="s">
        <v>82</v>
      </c>
      <c r="P37" t="str">
        <f>"11118561PC 402190             "</f>
        <v xml:space="preserve">11118561PC 402190             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22.36</v>
      </c>
      <c r="AR37">
        <v>0</v>
      </c>
      <c r="AS37">
        <v>0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1</v>
      </c>
      <c r="BI37">
        <v>1</v>
      </c>
      <c r="BJ37">
        <v>0.2</v>
      </c>
      <c r="BK37">
        <v>1</v>
      </c>
      <c r="BL37">
        <v>70.959999999999994</v>
      </c>
      <c r="BM37">
        <v>10.64</v>
      </c>
      <c r="BN37">
        <v>81.599999999999994</v>
      </c>
      <c r="BO37">
        <v>81.599999999999994</v>
      </c>
      <c r="BQ37" t="s">
        <v>259</v>
      </c>
      <c r="BR37" t="s">
        <v>93</v>
      </c>
      <c r="BS37" s="3">
        <v>45940</v>
      </c>
      <c r="BT37" s="4">
        <v>0.64652777777777781</v>
      </c>
      <c r="BU37" t="s">
        <v>236</v>
      </c>
      <c r="BV37" t="s">
        <v>89</v>
      </c>
      <c r="BW37" t="s">
        <v>132</v>
      </c>
      <c r="BX37" t="s">
        <v>237</v>
      </c>
      <c r="BY37">
        <v>1200</v>
      </c>
      <c r="BZ37" t="s">
        <v>87</v>
      </c>
      <c r="CA37" t="s">
        <v>238</v>
      </c>
      <c r="CC37" t="s">
        <v>76</v>
      </c>
      <c r="CD37">
        <v>4052</v>
      </c>
      <c r="CE37" t="s">
        <v>88</v>
      </c>
      <c r="CF37" s="3">
        <v>45941</v>
      </c>
      <c r="CI37">
        <v>1</v>
      </c>
      <c r="CJ37">
        <v>1</v>
      </c>
      <c r="CK37">
        <v>21</v>
      </c>
      <c r="CL37" t="s">
        <v>89</v>
      </c>
    </row>
    <row r="38" spans="1:91" x14ac:dyDescent="0.3">
      <c r="A38" t="s">
        <v>72</v>
      </c>
      <c r="B38" t="s">
        <v>73</v>
      </c>
      <c r="C38" t="s">
        <v>74</v>
      </c>
      <c r="E38" t="str">
        <f>"009943054867"</f>
        <v>009943054867</v>
      </c>
      <c r="F38" s="3">
        <v>45939</v>
      </c>
      <c r="G38">
        <v>202607</v>
      </c>
      <c r="H38" t="s">
        <v>79</v>
      </c>
      <c r="I38" t="s">
        <v>80</v>
      </c>
      <c r="J38" t="s">
        <v>90</v>
      </c>
      <c r="K38" t="s">
        <v>78</v>
      </c>
      <c r="L38" t="s">
        <v>260</v>
      </c>
      <c r="M38" t="s">
        <v>261</v>
      </c>
      <c r="N38" t="s">
        <v>262</v>
      </c>
      <c r="O38" t="s">
        <v>82</v>
      </c>
      <c r="P38" t="str">
        <f>"11116561PC 402190             "</f>
        <v xml:space="preserve">11116561PC 402190             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22.36</v>
      </c>
      <c r="AR38">
        <v>0</v>
      </c>
      <c r="AS38">
        <v>0</v>
      </c>
      <c r="AT38">
        <v>0</v>
      </c>
      <c r="AU38">
        <v>0</v>
      </c>
      <c r="AV38">
        <v>0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1</v>
      </c>
      <c r="BI38">
        <v>1</v>
      </c>
      <c r="BJ38">
        <v>0.2</v>
      </c>
      <c r="BK38">
        <v>1</v>
      </c>
      <c r="BL38">
        <v>70.959999999999994</v>
      </c>
      <c r="BM38">
        <v>10.64</v>
      </c>
      <c r="BN38">
        <v>81.599999999999994</v>
      </c>
      <c r="BO38">
        <v>81.599999999999994</v>
      </c>
      <c r="BQ38" t="s">
        <v>263</v>
      </c>
      <c r="BR38" t="s">
        <v>93</v>
      </c>
      <c r="BS38" s="3">
        <v>45940</v>
      </c>
      <c r="BT38" s="4">
        <v>0.70416666666666672</v>
      </c>
      <c r="BU38" t="s">
        <v>264</v>
      </c>
      <c r="BV38" t="s">
        <v>89</v>
      </c>
      <c r="BW38" t="s">
        <v>132</v>
      </c>
      <c r="BX38" t="s">
        <v>221</v>
      </c>
      <c r="BY38">
        <v>1200</v>
      </c>
      <c r="BZ38" t="s">
        <v>87</v>
      </c>
      <c r="CA38" t="s">
        <v>265</v>
      </c>
      <c r="CC38" t="s">
        <v>261</v>
      </c>
      <c r="CD38">
        <v>4300</v>
      </c>
      <c r="CE38" t="s">
        <v>88</v>
      </c>
      <c r="CF38" s="3">
        <v>45940</v>
      </c>
      <c r="CI38">
        <v>1</v>
      </c>
      <c r="CJ38">
        <v>1</v>
      </c>
      <c r="CK38">
        <v>21</v>
      </c>
      <c r="CL38" t="s">
        <v>89</v>
      </c>
    </row>
    <row r="39" spans="1:91" x14ac:dyDescent="0.3">
      <c r="A39" t="s">
        <v>72</v>
      </c>
      <c r="B39" t="s">
        <v>73</v>
      </c>
      <c r="C39" t="s">
        <v>74</v>
      </c>
      <c r="E39" t="str">
        <f>"009943425374"</f>
        <v>009943425374</v>
      </c>
      <c r="F39" s="3">
        <v>45939</v>
      </c>
      <c r="G39">
        <v>202607</v>
      </c>
      <c r="H39" t="s">
        <v>79</v>
      </c>
      <c r="I39" t="s">
        <v>80</v>
      </c>
      <c r="J39" t="s">
        <v>90</v>
      </c>
      <c r="K39" t="s">
        <v>78</v>
      </c>
      <c r="L39" t="s">
        <v>96</v>
      </c>
      <c r="M39" t="s">
        <v>97</v>
      </c>
      <c r="N39" t="s">
        <v>266</v>
      </c>
      <c r="O39" t="s">
        <v>101</v>
      </c>
      <c r="P39" t="str">
        <f>"16282660DI 46004              "</f>
        <v xml:space="preserve">16282660DI 46004              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5.87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43.23</v>
      </c>
      <c r="AR39">
        <v>0</v>
      </c>
      <c r="AS39">
        <v>0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2</v>
      </c>
      <c r="BI39">
        <v>4.5</v>
      </c>
      <c r="BJ39">
        <v>2.7</v>
      </c>
      <c r="BK39">
        <v>5</v>
      </c>
      <c r="BL39">
        <v>143.08000000000001</v>
      </c>
      <c r="BM39">
        <v>21.46</v>
      </c>
      <c r="BN39">
        <v>164.54</v>
      </c>
      <c r="BO39">
        <v>164.54</v>
      </c>
      <c r="BQ39" t="s">
        <v>267</v>
      </c>
      <c r="BR39" t="s">
        <v>268</v>
      </c>
      <c r="BS39" s="3">
        <v>45943</v>
      </c>
      <c r="BT39" s="4">
        <v>0.65208333333333335</v>
      </c>
      <c r="BU39" t="s">
        <v>269</v>
      </c>
      <c r="BV39" t="s">
        <v>86</v>
      </c>
      <c r="BY39">
        <v>13274.55</v>
      </c>
      <c r="BZ39" t="s">
        <v>105</v>
      </c>
      <c r="CA39" t="s">
        <v>255</v>
      </c>
      <c r="CC39" t="s">
        <v>97</v>
      </c>
      <c r="CD39">
        <v>7560</v>
      </c>
      <c r="CE39" t="s">
        <v>88</v>
      </c>
      <c r="CF39" s="3">
        <v>45944</v>
      </c>
      <c r="CI39">
        <v>3</v>
      </c>
      <c r="CJ39">
        <v>2</v>
      </c>
      <c r="CK39">
        <v>41</v>
      </c>
      <c r="CL39" t="s">
        <v>89</v>
      </c>
    </row>
    <row r="40" spans="1:91" x14ac:dyDescent="0.3">
      <c r="A40" t="s">
        <v>72</v>
      </c>
      <c r="B40" t="s">
        <v>73</v>
      </c>
      <c r="C40" t="s">
        <v>74</v>
      </c>
      <c r="E40" t="str">
        <f>"009943425375"</f>
        <v>009943425375</v>
      </c>
      <c r="F40" s="3">
        <v>45939</v>
      </c>
      <c r="G40">
        <v>202607</v>
      </c>
      <c r="H40" t="s">
        <v>79</v>
      </c>
      <c r="I40" t="s">
        <v>80</v>
      </c>
      <c r="J40" t="s">
        <v>90</v>
      </c>
      <c r="K40" t="s">
        <v>78</v>
      </c>
      <c r="L40" t="s">
        <v>96</v>
      </c>
      <c r="M40" t="s">
        <v>97</v>
      </c>
      <c r="N40" t="s">
        <v>270</v>
      </c>
      <c r="O40" t="s">
        <v>101</v>
      </c>
      <c r="P40" t="str">
        <f>"16282660DI 460040             "</f>
        <v xml:space="preserve">16282660DI 460040             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5.87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43.23</v>
      </c>
      <c r="AR40">
        <v>0</v>
      </c>
      <c r="AS40">
        <v>0</v>
      </c>
      <c r="AT40">
        <v>0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2</v>
      </c>
      <c r="BI40">
        <v>4.0999999999999996</v>
      </c>
      <c r="BJ40">
        <v>2.5</v>
      </c>
      <c r="BK40">
        <v>5</v>
      </c>
      <c r="BL40">
        <v>143.08000000000001</v>
      </c>
      <c r="BM40">
        <v>21.46</v>
      </c>
      <c r="BN40">
        <v>164.54</v>
      </c>
      <c r="BO40">
        <v>164.54</v>
      </c>
      <c r="BQ40" t="s">
        <v>271</v>
      </c>
      <c r="BR40" t="s">
        <v>272</v>
      </c>
      <c r="BS40" s="3">
        <v>45943</v>
      </c>
      <c r="BT40" s="4">
        <v>0.45416666666666666</v>
      </c>
      <c r="BU40" t="s">
        <v>273</v>
      </c>
      <c r="BV40" t="s">
        <v>86</v>
      </c>
      <c r="BY40">
        <v>12691.85</v>
      </c>
      <c r="BZ40" t="s">
        <v>105</v>
      </c>
      <c r="CA40" t="s">
        <v>274</v>
      </c>
      <c r="CC40" t="s">
        <v>97</v>
      </c>
      <c r="CD40">
        <v>7500</v>
      </c>
      <c r="CE40" t="s">
        <v>88</v>
      </c>
      <c r="CF40" s="3">
        <v>45944</v>
      </c>
      <c r="CI40">
        <v>3</v>
      </c>
      <c r="CJ40">
        <v>2</v>
      </c>
      <c r="CK40">
        <v>41</v>
      </c>
      <c r="CL40" t="s">
        <v>89</v>
      </c>
    </row>
    <row r="41" spans="1:91" x14ac:dyDescent="0.3">
      <c r="A41" t="s">
        <v>72</v>
      </c>
      <c r="B41" t="s">
        <v>73</v>
      </c>
      <c r="C41" t="s">
        <v>74</v>
      </c>
      <c r="E41" t="str">
        <f>"009945160155"</f>
        <v>009945160155</v>
      </c>
      <c r="F41" s="3">
        <v>45939</v>
      </c>
      <c r="G41">
        <v>202607</v>
      </c>
      <c r="H41" t="s">
        <v>79</v>
      </c>
      <c r="I41" t="s">
        <v>80</v>
      </c>
      <c r="J41" t="s">
        <v>90</v>
      </c>
      <c r="K41" t="s">
        <v>78</v>
      </c>
      <c r="L41" t="s">
        <v>187</v>
      </c>
      <c r="M41" t="s">
        <v>188</v>
      </c>
      <c r="N41" t="s">
        <v>189</v>
      </c>
      <c r="O41" t="s">
        <v>82</v>
      </c>
      <c r="P41" t="str">
        <f>"11116561PC 402190             "</f>
        <v xml:space="preserve">11116561PC 402190             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22.36</v>
      </c>
      <c r="AR41">
        <v>0</v>
      </c>
      <c r="AS41">
        <v>0</v>
      </c>
      <c r="AT41">
        <v>0</v>
      </c>
      <c r="AU41">
        <v>0</v>
      </c>
      <c r="AV41">
        <v>0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1</v>
      </c>
      <c r="BI41">
        <v>1</v>
      </c>
      <c r="BJ41">
        <v>0.2</v>
      </c>
      <c r="BK41">
        <v>1</v>
      </c>
      <c r="BL41">
        <v>70.959999999999994</v>
      </c>
      <c r="BM41">
        <v>10.64</v>
      </c>
      <c r="BN41">
        <v>81.599999999999994</v>
      </c>
      <c r="BO41">
        <v>81.599999999999994</v>
      </c>
      <c r="BQ41" t="s">
        <v>275</v>
      </c>
      <c r="BR41" t="s">
        <v>93</v>
      </c>
      <c r="BS41" s="3">
        <v>45940</v>
      </c>
      <c r="BT41" s="4">
        <v>0.37708333333333333</v>
      </c>
      <c r="BU41" t="s">
        <v>192</v>
      </c>
      <c r="BV41" t="s">
        <v>86</v>
      </c>
      <c r="BY41">
        <v>1200</v>
      </c>
      <c r="BZ41" t="s">
        <v>87</v>
      </c>
      <c r="CA41" t="s">
        <v>95</v>
      </c>
      <c r="CC41" t="s">
        <v>188</v>
      </c>
      <c r="CD41">
        <v>3610</v>
      </c>
      <c r="CE41" t="s">
        <v>88</v>
      </c>
      <c r="CF41" s="3">
        <v>45941</v>
      </c>
      <c r="CI41">
        <v>1</v>
      </c>
      <c r="CJ41">
        <v>1</v>
      </c>
      <c r="CK41">
        <v>21</v>
      </c>
      <c r="CL41" t="s">
        <v>89</v>
      </c>
    </row>
    <row r="42" spans="1:91" x14ac:dyDescent="0.3">
      <c r="A42" t="s">
        <v>72</v>
      </c>
      <c r="B42" t="s">
        <v>73</v>
      </c>
      <c r="C42" t="s">
        <v>74</v>
      </c>
      <c r="E42" t="str">
        <f>"009943054763"</f>
        <v>009943054763</v>
      </c>
      <c r="F42" s="3">
        <v>45939</v>
      </c>
      <c r="G42">
        <v>202607</v>
      </c>
      <c r="H42" t="s">
        <v>79</v>
      </c>
      <c r="I42" t="s">
        <v>80</v>
      </c>
      <c r="J42" t="s">
        <v>90</v>
      </c>
      <c r="K42" t="s">
        <v>78</v>
      </c>
      <c r="L42" t="s">
        <v>75</v>
      </c>
      <c r="M42" t="s">
        <v>76</v>
      </c>
      <c r="N42" t="s">
        <v>276</v>
      </c>
      <c r="O42" t="s">
        <v>82</v>
      </c>
      <c r="P42" t="str">
        <f>"11116561PC 402190             "</f>
        <v xml:space="preserve">11116561PC 402190             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>
        <v>0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Q42">
        <v>22.36</v>
      </c>
      <c r="AR42">
        <v>0</v>
      </c>
      <c r="AS42">
        <v>0</v>
      </c>
      <c r="AT42">
        <v>0</v>
      </c>
      <c r="AU42">
        <v>0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1</v>
      </c>
      <c r="BI42">
        <v>1</v>
      </c>
      <c r="BJ42">
        <v>0.2</v>
      </c>
      <c r="BK42">
        <v>1</v>
      </c>
      <c r="BL42">
        <v>70.959999999999994</v>
      </c>
      <c r="BM42">
        <v>10.64</v>
      </c>
      <c r="BN42">
        <v>81.599999999999994</v>
      </c>
      <c r="BO42">
        <v>81.599999999999994</v>
      </c>
      <c r="BQ42" t="s">
        <v>277</v>
      </c>
      <c r="BR42" t="s">
        <v>93</v>
      </c>
      <c r="BS42" s="3">
        <v>45940</v>
      </c>
      <c r="BT42" s="4">
        <v>0.43611111111111112</v>
      </c>
      <c r="BU42" t="s">
        <v>278</v>
      </c>
      <c r="BV42" t="s">
        <v>86</v>
      </c>
      <c r="BY42">
        <v>1200</v>
      </c>
      <c r="BZ42" t="s">
        <v>87</v>
      </c>
      <c r="CA42" t="s">
        <v>95</v>
      </c>
      <c r="CC42" t="s">
        <v>76</v>
      </c>
      <c r="CD42">
        <v>4000</v>
      </c>
      <c r="CE42" t="s">
        <v>88</v>
      </c>
      <c r="CF42" s="3">
        <v>45941</v>
      </c>
      <c r="CI42">
        <v>1</v>
      </c>
      <c r="CJ42">
        <v>1</v>
      </c>
      <c r="CK42">
        <v>21</v>
      </c>
      <c r="CL42" t="s">
        <v>89</v>
      </c>
    </row>
    <row r="43" spans="1:91" x14ac:dyDescent="0.3">
      <c r="A43" t="s">
        <v>72</v>
      </c>
      <c r="B43" t="s">
        <v>73</v>
      </c>
      <c r="C43" t="s">
        <v>74</v>
      </c>
      <c r="E43" t="str">
        <f>"009945197396"</f>
        <v>009945197396</v>
      </c>
      <c r="F43" s="3">
        <v>45939</v>
      </c>
      <c r="G43">
        <v>202607</v>
      </c>
      <c r="H43" t="s">
        <v>96</v>
      </c>
      <c r="I43" t="s">
        <v>97</v>
      </c>
      <c r="J43" t="s">
        <v>143</v>
      </c>
      <c r="K43" t="s">
        <v>78</v>
      </c>
      <c r="L43" t="s">
        <v>260</v>
      </c>
      <c r="M43" t="s">
        <v>261</v>
      </c>
      <c r="N43" t="s">
        <v>143</v>
      </c>
      <c r="O43" t="s">
        <v>101</v>
      </c>
      <c r="P43" t="str">
        <f>"CPT                           "</f>
        <v xml:space="preserve">CPT                           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  <c r="AA43">
        <v>0</v>
      </c>
      <c r="AB43">
        <v>0</v>
      </c>
      <c r="AC43">
        <v>0</v>
      </c>
      <c r="AD43">
        <v>0</v>
      </c>
      <c r="AE43">
        <v>0</v>
      </c>
      <c r="AF43">
        <v>0</v>
      </c>
      <c r="AG43">
        <v>5.87</v>
      </c>
      <c r="AH43">
        <v>0</v>
      </c>
      <c r="AI43">
        <v>0</v>
      </c>
      <c r="AJ43">
        <v>0</v>
      </c>
      <c r="AK43">
        <v>0</v>
      </c>
      <c r="AL43">
        <v>0</v>
      </c>
      <c r="AM43">
        <v>0</v>
      </c>
      <c r="AN43">
        <v>0</v>
      </c>
      <c r="AO43">
        <v>0</v>
      </c>
      <c r="AP43">
        <v>0</v>
      </c>
      <c r="AQ43">
        <v>43.23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1</v>
      </c>
      <c r="BI43">
        <v>2.2000000000000002</v>
      </c>
      <c r="BJ43">
        <v>3.5</v>
      </c>
      <c r="BK43">
        <v>4</v>
      </c>
      <c r="BL43">
        <v>143.08000000000001</v>
      </c>
      <c r="BM43">
        <v>21.46</v>
      </c>
      <c r="BN43">
        <v>164.54</v>
      </c>
      <c r="BO43">
        <v>164.54</v>
      </c>
      <c r="BQ43" t="s">
        <v>279</v>
      </c>
      <c r="BR43" t="s">
        <v>280</v>
      </c>
      <c r="BS43" s="3">
        <v>45943</v>
      </c>
      <c r="BT43" s="4">
        <v>0.38541666666666669</v>
      </c>
      <c r="BU43" t="s">
        <v>281</v>
      </c>
      <c r="BV43" t="s">
        <v>86</v>
      </c>
      <c r="BY43">
        <v>17647.3</v>
      </c>
      <c r="BZ43" t="s">
        <v>105</v>
      </c>
      <c r="CA43" t="s">
        <v>265</v>
      </c>
      <c r="CC43" t="s">
        <v>261</v>
      </c>
      <c r="CD43">
        <v>4302</v>
      </c>
      <c r="CE43" t="s">
        <v>88</v>
      </c>
      <c r="CF43" s="3">
        <v>45944</v>
      </c>
      <c r="CI43">
        <v>3</v>
      </c>
      <c r="CJ43">
        <v>2</v>
      </c>
      <c r="CK43">
        <v>41</v>
      </c>
      <c r="CL43" t="s">
        <v>89</v>
      </c>
    </row>
    <row r="44" spans="1:91" x14ac:dyDescent="0.3">
      <c r="A44" t="s">
        <v>72</v>
      </c>
      <c r="B44" t="s">
        <v>73</v>
      </c>
      <c r="C44" t="s">
        <v>74</v>
      </c>
      <c r="E44" t="str">
        <f>"009944622497"</f>
        <v>009944622497</v>
      </c>
      <c r="F44" s="3">
        <v>45940</v>
      </c>
      <c r="G44">
        <v>202607</v>
      </c>
      <c r="H44" t="s">
        <v>75</v>
      </c>
      <c r="I44" t="s">
        <v>76</v>
      </c>
      <c r="J44" t="s">
        <v>282</v>
      </c>
      <c r="K44" t="s">
        <v>78</v>
      </c>
      <c r="L44" t="s">
        <v>187</v>
      </c>
      <c r="M44" t="s">
        <v>188</v>
      </c>
      <c r="N44" t="s">
        <v>283</v>
      </c>
      <c r="O44" t="s">
        <v>82</v>
      </c>
      <c r="P44" t="str">
        <f>"11116561PC 402190             "</f>
        <v xml:space="preserve">11116561PC 402190             </v>
      </c>
      <c r="Q44">
        <v>0</v>
      </c>
      <c r="R44">
        <v>0</v>
      </c>
      <c r="S44">
        <v>0</v>
      </c>
      <c r="T44">
        <v>0</v>
      </c>
      <c r="U44">
        <v>0</v>
      </c>
      <c r="V44">
        <v>0</v>
      </c>
      <c r="W44">
        <v>0</v>
      </c>
      <c r="X44">
        <v>0</v>
      </c>
      <c r="Y44">
        <v>0</v>
      </c>
      <c r="Z44">
        <v>0</v>
      </c>
      <c r="AA44">
        <v>0</v>
      </c>
      <c r="AB44">
        <v>0</v>
      </c>
      <c r="AC44">
        <v>0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17.46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1</v>
      </c>
      <c r="BI44">
        <v>1</v>
      </c>
      <c r="BJ44">
        <v>7.2</v>
      </c>
      <c r="BK44">
        <v>8</v>
      </c>
      <c r="BL44">
        <v>55.42</v>
      </c>
      <c r="BM44">
        <v>8.31</v>
      </c>
      <c r="BN44">
        <v>63.73</v>
      </c>
      <c r="BO44">
        <v>63.73</v>
      </c>
      <c r="BQ44" t="s">
        <v>284</v>
      </c>
      <c r="BR44" t="s">
        <v>285</v>
      </c>
      <c r="BS44" s="3">
        <v>45943</v>
      </c>
      <c r="BT44" s="4">
        <v>0.68402777777777779</v>
      </c>
      <c r="BU44" t="s">
        <v>286</v>
      </c>
      <c r="BV44" t="s">
        <v>89</v>
      </c>
      <c r="BW44" t="s">
        <v>132</v>
      </c>
      <c r="BX44" t="s">
        <v>221</v>
      </c>
      <c r="BY44">
        <v>36000</v>
      </c>
      <c r="BZ44" t="s">
        <v>87</v>
      </c>
      <c r="CA44" t="s">
        <v>287</v>
      </c>
      <c r="CC44" t="s">
        <v>188</v>
      </c>
      <c r="CD44">
        <v>3600</v>
      </c>
      <c r="CE44" t="s">
        <v>88</v>
      </c>
      <c r="CF44" s="3">
        <v>45943</v>
      </c>
      <c r="CI44">
        <v>1</v>
      </c>
      <c r="CJ44">
        <v>1</v>
      </c>
      <c r="CK44">
        <v>22</v>
      </c>
      <c r="CL44" t="s">
        <v>89</v>
      </c>
    </row>
    <row r="45" spans="1:91" x14ac:dyDescent="0.3">
      <c r="A45" t="s">
        <v>72</v>
      </c>
      <c r="B45" t="s">
        <v>73</v>
      </c>
      <c r="C45" t="s">
        <v>74</v>
      </c>
      <c r="E45" t="str">
        <f>"080011645867"</f>
        <v>080011645867</v>
      </c>
      <c r="F45" s="3">
        <v>45940</v>
      </c>
      <c r="G45">
        <v>202607</v>
      </c>
      <c r="H45" t="s">
        <v>96</v>
      </c>
      <c r="I45" t="s">
        <v>97</v>
      </c>
      <c r="J45" t="s">
        <v>116</v>
      </c>
      <c r="K45" t="s">
        <v>78</v>
      </c>
      <c r="L45" t="s">
        <v>176</v>
      </c>
      <c r="M45" t="s">
        <v>177</v>
      </c>
      <c r="N45" t="s">
        <v>288</v>
      </c>
      <c r="O45" t="s">
        <v>82</v>
      </c>
      <c r="P45" t="str">
        <f>"-                             "</f>
        <v xml:space="preserve">-                             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  <c r="AA45">
        <v>0</v>
      </c>
      <c r="AB45">
        <v>0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  <c r="AM45">
        <v>0</v>
      </c>
      <c r="AN45">
        <v>0</v>
      </c>
      <c r="AO45">
        <v>0</v>
      </c>
      <c r="AP45">
        <v>0</v>
      </c>
      <c r="AQ45">
        <v>55.86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1</v>
      </c>
      <c r="BI45">
        <v>2.8</v>
      </c>
      <c r="BJ45">
        <v>5</v>
      </c>
      <c r="BK45">
        <v>5</v>
      </c>
      <c r="BL45">
        <v>177.3</v>
      </c>
      <c r="BM45">
        <v>26.6</v>
      </c>
      <c r="BN45">
        <v>203.9</v>
      </c>
      <c r="BO45">
        <v>203.9</v>
      </c>
      <c r="BQ45" t="s">
        <v>289</v>
      </c>
      <c r="BR45" t="s">
        <v>290</v>
      </c>
      <c r="BS45" s="3">
        <v>45943</v>
      </c>
      <c r="BT45" s="4">
        <v>0.44374999999999998</v>
      </c>
      <c r="BU45" t="s">
        <v>291</v>
      </c>
      <c r="BV45" t="s">
        <v>89</v>
      </c>
      <c r="BY45">
        <v>25021.360000000001</v>
      </c>
      <c r="BZ45" t="s">
        <v>87</v>
      </c>
      <c r="CA45" t="s">
        <v>292</v>
      </c>
      <c r="CC45" t="s">
        <v>177</v>
      </c>
      <c r="CD45">
        <v>5201</v>
      </c>
      <c r="CE45" t="s">
        <v>88</v>
      </c>
      <c r="CF45" s="3">
        <v>45944</v>
      </c>
      <c r="CI45">
        <v>1</v>
      </c>
      <c r="CJ45">
        <v>1</v>
      </c>
      <c r="CK45">
        <v>21</v>
      </c>
      <c r="CL45" t="s">
        <v>89</v>
      </c>
    </row>
    <row r="46" spans="1:91" x14ac:dyDescent="0.3">
      <c r="A46" t="s">
        <v>72</v>
      </c>
      <c r="B46" t="s">
        <v>73</v>
      </c>
      <c r="C46" t="s">
        <v>74</v>
      </c>
      <c r="E46" t="str">
        <f>"080011645910"</f>
        <v>080011645910</v>
      </c>
      <c r="F46" s="3">
        <v>45940</v>
      </c>
      <c r="G46">
        <v>202607</v>
      </c>
      <c r="H46" t="s">
        <v>187</v>
      </c>
      <c r="I46" t="s">
        <v>188</v>
      </c>
      <c r="J46" t="s">
        <v>293</v>
      </c>
      <c r="K46" t="s">
        <v>78</v>
      </c>
      <c r="L46" t="s">
        <v>79</v>
      </c>
      <c r="M46" t="s">
        <v>80</v>
      </c>
      <c r="N46" t="s">
        <v>117</v>
      </c>
      <c r="O46" t="s">
        <v>82</v>
      </c>
      <c r="P46" t="str">
        <f>"-                             "</f>
        <v xml:space="preserve">-                             </v>
      </c>
      <c r="Q46">
        <v>0</v>
      </c>
      <c r="R46">
        <v>0</v>
      </c>
      <c r="S46">
        <v>0</v>
      </c>
      <c r="T46">
        <v>0</v>
      </c>
      <c r="U46">
        <v>0</v>
      </c>
      <c r="V46">
        <v>0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  <c r="AM46">
        <v>0</v>
      </c>
      <c r="AN46">
        <v>0</v>
      </c>
      <c r="AO46">
        <v>0</v>
      </c>
      <c r="AP46">
        <v>0</v>
      </c>
      <c r="AQ46">
        <v>134.04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1</v>
      </c>
      <c r="BI46">
        <v>5</v>
      </c>
      <c r="BJ46">
        <v>12</v>
      </c>
      <c r="BK46">
        <v>12</v>
      </c>
      <c r="BL46">
        <v>425.44</v>
      </c>
      <c r="BM46">
        <v>63.82</v>
      </c>
      <c r="BN46">
        <v>489.26</v>
      </c>
      <c r="BO46">
        <v>489.26</v>
      </c>
      <c r="BQ46" t="s">
        <v>294</v>
      </c>
      <c r="BR46" t="s">
        <v>295</v>
      </c>
      <c r="BS46" s="3">
        <v>45943</v>
      </c>
      <c r="BT46" s="4">
        <v>0.3347222222222222</v>
      </c>
      <c r="BU46" t="s">
        <v>296</v>
      </c>
      <c r="BV46" t="s">
        <v>86</v>
      </c>
      <c r="BY46">
        <v>60000</v>
      </c>
      <c r="BZ46" t="s">
        <v>87</v>
      </c>
      <c r="CA46" t="s">
        <v>121</v>
      </c>
      <c r="CC46" t="s">
        <v>80</v>
      </c>
      <c r="CD46">
        <v>2021</v>
      </c>
      <c r="CE46" t="s">
        <v>88</v>
      </c>
      <c r="CF46" s="3">
        <v>45943</v>
      </c>
      <c r="CI46">
        <v>1</v>
      </c>
      <c r="CJ46">
        <v>1</v>
      </c>
      <c r="CK46">
        <v>21</v>
      </c>
      <c r="CL46" t="s">
        <v>89</v>
      </c>
    </row>
    <row r="47" spans="1:91" x14ac:dyDescent="0.3">
      <c r="A47" t="s">
        <v>72</v>
      </c>
      <c r="B47" t="s">
        <v>73</v>
      </c>
      <c r="C47" t="s">
        <v>74</v>
      </c>
      <c r="E47" t="str">
        <f>"009944622496"</f>
        <v>009944622496</v>
      </c>
      <c r="F47" s="3">
        <v>45940</v>
      </c>
      <c r="G47">
        <v>202607</v>
      </c>
      <c r="H47" t="s">
        <v>75</v>
      </c>
      <c r="I47" t="s">
        <v>76</v>
      </c>
      <c r="J47" t="s">
        <v>77</v>
      </c>
      <c r="K47" t="s">
        <v>78</v>
      </c>
      <c r="L47" t="s">
        <v>79</v>
      </c>
      <c r="M47" t="s">
        <v>80</v>
      </c>
      <c r="N47" t="s">
        <v>297</v>
      </c>
      <c r="O47" t="s">
        <v>82</v>
      </c>
      <c r="P47" t="str">
        <f>"11116561PC 402190             "</f>
        <v xml:space="preserve">11116561PC 402190             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  <c r="AA47">
        <v>0</v>
      </c>
      <c r="AB47">
        <v>0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  <c r="AM47">
        <v>0</v>
      </c>
      <c r="AN47">
        <v>0</v>
      </c>
      <c r="AO47">
        <v>0</v>
      </c>
      <c r="AP47">
        <v>0</v>
      </c>
      <c r="AQ47">
        <v>22.36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1</v>
      </c>
      <c r="BI47">
        <v>1</v>
      </c>
      <c r="BJ47">
        <v>0.2</v>
      </c>
      <c r="BK47">
        <v>1</v>
      </c>
      <c r="BL47">
        <v>70.959999999999994</v>
      </c>
      <c r="BM47">
        <v>10.64</v>
      </c>
      <c r="BN47">
        <v>81.599999999999994</v>
      </c>
      <c r="BO47">
        <v>81.599999999999994</v>
      </c>
      <c r="BQ47" t="s">
        <v>298</v>
      </c>
      <c r="BR47" t="s">
        <v>285</v>
      </c>
      <c r="BS47" s="3">
        <v>45943</v>
      </c>
      <c r="BT47" s="4">
        <v>0.3347222222222222</v>
      </c>
      <c r="BU47" t="s">
        <v>296</v>
      </c>
      <c r="BV47" t="s">
        <v>86</v>
      </c>
      <c r="BY47">
        <v>1200</v>
      </c>
      <c r="BZ47" t="s">
        <v>87</v>
      </c>
      <c r="CA47" t="s">
        <v>121</v>
      </c>
      <c r="CC47" t="s">
        <v>80</v>
      </c>
      <c r="CD47">
        <v>2191</v>
      </c>
      <c r="CE47" t="s">
        <v>88</v>
      </c>
      <c r="CF47" s="3">
        <v>45943</v>
      </c>
      <c r="CI47">
        <v>1</v>
      </c>
      <c r="CJ47">
        <v>1</v>
      </c>
      <c r="CK47">
        <v>21</v>
      </c>
      <c r="CL47" t="s">
        <v>89</v>
      </c>
    </row>
    <row r="48" spans="1:91" x14ac:dyDescent="0.3">
      <c r="A48" t="s">
        <v>72</v>
      </c>
      <c r="B48" t="s">
        <v>73</v>
      </c>
      <c r="C48" t="s">
        <v>74</v>
      </c>
      <c r="E48" t="str">
        <f>"009945160153"</f>
        <v>009945160153</v>
      </c>
      <c r="F48" s="3">
        <v>45940</v>
      </c>
      <c r="G48">
        <v>202607</v>
      </c>
      <c r="H48" t="s">
        <v>79</v>
      </c>
      <c r="I48" t="s">
        <v>80</v>
      </c>
      <c r="J48" t="s">
        <v>90</v>
      </c>
      <c r="K48" t="s">
        <v>78</v>
      </c>
      <c r="L48" t="s">
        <v>187</v>
      </c>
      <c r="M48" t="s">
        <v>188</v>
      </c>
      <c r="N48" t="s">
        <v>189</v>
      </c>
      <c r="O48" t="s">
        <v>82</v>
      </c>
      <c r="P48" t="str">
        <f>"11008500HR 460040             "</f>
        <v xml:space="preserve">11008500HR 460040             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0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  <c r="AM48">
        <v>0</v>
      </c>
      <c r="AN48">
        <v>0</v>
      </c>
      <c r="AO48">
        <v>0</v>
      </c>
      <c r="AP48">
        <v>0</v>
      </c>
      <c r="AQ48">
        <v>22.36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1</v>
      </c>
      <c r="BI48">
        <v>1</v>
      </c>
      <c r="BJ48">
        <v>0.2</v>
      </c>
      <c r="BK48">
        <v>1</v>
      </c>
      <c r="BL48">
        <v>70.959999999999994</v>
      </c>
      <c r="BM48">
        <v>10.64</v>
      </c>
      <c r="BN48">
        <v>81.599999999999994</v>
      </c>
      <c r="BO48">
        <v>81.599999999999994</v>
      </c>
      <c r="BP48" t="s">
        <v>209</v>
      </c>
      <c r="BQ48" t="s">
        <v>299</v>
      </c>
      <c r="BR48" t="s">
        <v>211</v>
      </c>
      <c r="BS48" s="3">
        <v>45943</v>
      </c>
      <c r="BT48" s="4">
        <v>0.68402777777777779</v>
      </c>
      <c r="BU48" t="s">
        <v>286</v>
      </c>
      <c r="BV48" t="s">
        <v>89</v>
      </c>
      <c r="BW48" t="s">
        <v>132</v>
      </c>
      <c r="BX48" t="s">
        <v>221</v>
      </c>
      <c r="BY48">
        <v>1200</v>
      </c>
      <c r="BZ48" t="s">
        <v>87</v>
      </c>
      <c r="CA48" t="s">
        <v>287</v>
      </c>
      <c r="CC48" t="s">
        <v>188</v>
      </c>
      <c r="CD48">
        <v>3610</v>
      </c>
      <c r="CE48" t="s">
        <v>88</v>
      </c>
      <c r="CF48" s="3">
        <v>45943</v>
      </c>
      <c r="CI48">
        <v>1</v>
      </c>
      <c r="CJ48">
        <v>1</v>
      </c>
      <c r="CK48">
        <v>21</v>
      </c>
      <c r="CL48" t="s">
        <v>89</v>
      </c>
    </row>
    <row r="49" spans="1:90" x14ac:dyDescent="0.3">
      <c r="A49" t="s">
        <v>72</v>
      </c>
      <c r="B49" t="s">
        <v>73</v>
      </c>
      <c r="C49" t="s">
        <v>74</v>
      </c>
      <c r="E49" t="str">
        <f>"009945160152"</f>
        <v>009945160152</v>
      </c>
      <c r="F49" s="3">
        <v>45940</v>
      </c>
      <c r="G49">
        <v>202607</v>
      </c>
      <c r="H49" t="s">
        <v>79</v>
      </c>
      <c r="I49" t="s">
        <v>80</v>
      </c>
      <c r="J49" t="s">
        <v>90</v>
      </c>
      <c r="K49" t="s">
        <v>78</v>
      </c>
      <c r="L49" t="s">
        <v>187</v>
      </c>
      <c r="M49" t="s">
        <v>188</v>
      </c>
      <c r="N49" t="s">
        <v>189</v>
      </c>
      <c r="O49" t="s">
        <v>82</v>
      </c>
      <c r="P49" t="str">
        <f>"11654300bs 460040             "</f>
        <v xml:space="preserve">11654300bs 460040             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  <c r="AA49">
        <v>0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0</v>
      </c>
      <c r="AP49">
        <v>0</v>
      </c>
      <c r="AQ49">
        <v>22.36</v>
      </c>
      <c r="AR49">
        <v>0</v>
      </c>
      <c r="AS49">
        <v>0</v>
      </c>
      <c r="AT49">
        <v>0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1</v>
      </c>
      <c r="BI49">
        <v>1</v>
      </c>
      <c r="BJ49">
        <v>0.2</v>
      </c>
      <c r="BK49">
        <v>1</v>
      </c>
      <c r="BL49">
        <v>70.959999999999994</v>
      </c>
      <c r="BM49">
        <v>10.64</v>
      </c>
      <c r="BN49">
        <v>81.599999999999994</v>
      </c>
      <c r="BO49">
        <v>81.599999999999994</v>
      </c>
      <c r="BQ49" t="s">
        <v>300</v>
      </c>
      <c r="BR49" t="s">
        <v>301</v>
      </c>
      <c r="BS49" s="3">
        <v>45943</v>
      </c>
      <c r="BT49" s="4">
        <v>0.68402777777777779</v>
      </c>
      <c r="BU49" t="s">
        <v>286</v>
      </c>
      <c r="BV49" t="s">
        <v>89</v>
      </c>
      <c r="BW49" t="s">
        <v>132</v>
      </c>
      <c r="BX49" t="s">
        <v>221</v>
      </c>
      <c r="BY49">
        <v>1200</v>
      </c>
      <c r="BZ49" t="s">
        <v>87</v>
      </c>
      <c r="CA49" t="s">
        <v>287</v>
      </c>
      <c r="CC49" t="s">
        <v>188</v>
      </c>
      <c r="CD49">
        <v>3610</v>
      </c>
      <c r="CE49" t="s">
        <v>88</v>
      </c>
      <c r="CF49" s="3">
        <v>45943</v>
      </c>
      <c r="CI49">
        <v>1</v>
      </c>
      <c r="CJ49">
        <v>1</v>
      </c>
      <c r="CK49">
        <v>21</v>
      </c>
      <c r="CL49" t="s">
        <v>89</v>
      </c>
    </row>
    <row r="50" spans="1:90" x14ac:dyDescent="0.3">
      <c r="A50" t="s">
        <v>72</v>
      </c>
      <c r="B50" t="s">
        <v>73</v>
      </c>
      <c r="C50" t="s">
        <v>74</v>
      </c>
      <c r="E50" t="str">
        <f>"009943428952"</f>
        <v>009943428952</v>
      </c>
      <c r="F50" s="3">
        <v>45940</v>
      </c>
      <c r="G50">
        <v>202607</v>
      </c>
      <c r="H50" t="s">
        <v>79</v>
      </c>
      <c r="I50" t="s">
        <v>80</v>
      </c>
      <c r="J50" t="s">
        <v>90</v>
      </c>
      <c r="K50" t="s">
        <v>78</v>
      </c>
      <c r="L50" t="s">
        <v>302</v>
      </c>
      <c r="M50" t="s">
        <v>303</v>
      </c>
      <c r="N50" t="s">
        <v>304</v>
      </c>
      <c r="O50" t="s">
        <v>82</v>
      </c>
      <c r="P50" t="str">
        <f>"11005000BT 460040             "</f>
        <v xml:space="preserve">11005000BT 460040             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0</v>
      </c>
      <c r="X50">
        <v>0</v>
      </c>
      <c r="Y50">
        <v>0</v>
      </c>
      <c r="Z50">
        <v>0</v>
      </c>
      <c r="AA50">
        <v>0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0</v>
      </c>
      <c r="AP50">
        <v>0</v>
      </c>
      <c r="AQ50">
        <v>55.86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1</v>
      </c>
      <c r="BI50">
        <v>2.5</v>
      </c>
      <c r="BJ50">
        <v>4.7</v>
      </c>
      <c r="BK50">
        <v>5</v>
      </c>
      <c r="BL50">
        <v>177.3</v>
      </c>
      <c r="BM50">
        <v>26.6</v>
      </c>
      <c r="BN50">
        <v>203.9</v>
      </c>
      <c r="BO50">
        <v>203.9</v>
      </c>
      <c r="BP50" t="s">
        <v>209</v>
      </c>
      <c r="BQ50" t="s">
        <v>305</v>
      </c>
      <c r="BR50" t="s">
        <v>191</v>
      </c>
      <c r="BS50" s="3">
        <v>45943</v>
      </c>
      <c r="BT50" s="4">
        <v>0.41666666666666669</v>
      </c>
      <c r="BU50" t="s">
        <v>306</v>
      </c>
      <c r="BV50" t="s">
        <v>86</v>
      </c>
      <c r="BY50">
        <v>23734.080000000002</v>
      </c>
      <c r="BZ50" t="s">
        <v>87</v>
      </c>
      <c r="CA50" t="s">
        <v>307</v>
      </c>
      <c r="CC50" t="s">
        <v>303</v>
      </c>
      <c r="CD50">
        <v>9301</v>
      </c>
      <c r="CE50" t="s">
        <v>88</v>
      </c>
      <c r="CF50" s="3">
        <v>45944</v>
      </c>
      <c r="CI50">
        <v>1</v>
      </c>
      <c r="CJ50">
        <v>1</v>
      </c>
      <c r="CK50">
        <v>21</v>
      </c>
      <c r="CL50" t="s">
        <v>89</v>
      </c>
    </row>
    <row r="51" spans="1:90" x14ac:dyDescent="0.3">
      <c r="A51" t="s">
        <v>122</v>
      </c>
      <c r="B51" t="s">
        <v>73</v>
      </c>
      <c r="C51" t="s">
        <v>74</v>
      </c>
      <c r="E51" t="str">
        <f>"009942580844"</f>
        <v>009942580844</v>
      </c>
      <c r="F51" s="3">
        <v>45940</v>
      </c>
      <c r="G51">
        <v>202607</v>
      </c>
      <c r="H51" t="s">
        <v>99</v>
      </c>
      <c r="I51" t="s">
        <v>100</v>
      </c>
      <c r="J51" t="s">
        <v>308</v>
      </c>
      <c r="K51" t="s">
        <v>78</v>
      </c>
      <c r="L51" t="s">
        <v>302</v>
      </c>
      <c r="M51" t="s">
        <v>303</v>
      </c>
      <c r="N51" t="s">
        <v>309</v>
      </c>
      <c r="O51" t="s">
        <v>82</v>
      </c>
      <c r="P51" t="str">
        <f>"NA                            "</f>
        <v xml:space="preserve">NA                            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0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Q51">
        <v>111.71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1</v>
      </c>
      <c r="BI51">
        <v>5.0999999999999996</v>
      </c>
      <c r="BJ51">
        <v>9.8000000000000007</v>
      </c>
      <c r="BK51">
        <v>10</v>
      </c>
      <c r="BL51">
        <v>354.55</v>
      </c>
      <c r="BM51">
        <v>53.18</v>
      </c>
      <c r="BN51">
        <v>407.73</v>
      </c>
      <c r="BO51">
        <v>407.73</v>
      </c>
      <c r="BP51" t="s">
        <v>310</v>
      </c>
      <c r="BQ51" t="s">
        <v>311</v>
      </c>
      <c r="BR51" t="s">
        <v>312</v>
      </c>
      <c r="BS51" s="3">
        <v>45943</v>
      </c>
      <c r="BT51" s="4">
        <v>0.41666666666666669</v>
      </c>
      <c r="BU51" t="s">
        <v>306</v>
      </c>
      <c r="BV51" t="s">
        <v>86</v>
      </c>
      <c r="BY51">
        <v>49228.92</v>
      </c>
      <c r="BZ51" t="s">
        <v>87</v>
      </c>
      <c r="CA51" t="s">
        <v>307</v>
      </c>
      <c r="CC51" t="s">
        <v>303</v>
      </c>
      <c r="CD51">
        <v>9301</v>
      </c>
      <c r="CE51" t="s">
        <v>88</v>
      </c>
      <c r="CF51" s="3">
        <v>45944</v>
      </c>
      <c r="CI51">
        <v>1</v>
      </c>
      <c r="CJ51">
        <v>1</v>
      </c>
      <c r="CK51">
        <v>21</v>
      </c>
      <c r="CL51" t="s">
        <v>89</v>
      </c>
    </row>
    <row r="52" spans="1:90" x14ac:dyDescent="0.3">
      <c r="A52" t="s">
        <v>72</v>
      </c>
      <c r="B52" t="s">
        <v>73</v>
      </c>
      <c r="C52" t="s">
        <v>74</v>
      </c>
      <c r="E52" t="str">
        <f>"009943425795"</f>
        <v>009943425795</v>
      </c>
      <c r="F52" s="3">
        <v>45940</v>
      </c>
      <c r="G52">
        <v>202607</v>
      </c>
      <c r="H52" t="s">
        <v>79</v>
      </c>
      <c r="I52" t="s">
        <v>80</v>
      </c>
      <c r="J52" t="s">
        <v>90</v>
      </c>
      <c r="K52" t="s">
        <v>78</v>
      </c>
      <c r="L52" t="s">
        <v>96</v>
      </c>
      <c r="M52" t="s">
        <v>97</v>
      </c>
      <c r="N52" t="s">
        <v>313</v>
      </c>
      <c r="O52" t="s">
        <v>82</v>
      </c>
      <c r="P52" t="str">
        <f>"110055HR 400040               "</f>
        <v xml:space="preserve">110055HR 400040               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Q52">
        <v>22.36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1</v>
      </c>
      <c r="BI52">
        <v>1</v>
      </c>
      <c r="BJ52">
        <v>0.2</v>
      </c>
      <c r="BK52">
        <v>1</v>
      </c>
      <c r="BL52">
        <v>70.959999999999994</v>
      </c>
      <c r="BM52">
        <v>10.64</v>
      </c>
      <c r="BN52">
        <v>81.599999999999994</v>
      </c>
      <c r="BO52">
        <v>81.599999999999994</v>
      </c>
      <c r="BP52" t="s">
        <v>231</v>
      </c>
      <c r="BQ52" t="s">
        <v>314</v>
      </c>
      <c r="BR52" t="s">
        <v>211</v>
      </c>
      <c r="BS52" s="3">
        <v>45943</v>
      </c>
      <c r="BT52" s="4">
        <v>0.37708333333333333</v>
      </c>
      <c r="BU52" t="s">
        <v>212</v>
      </c>
      <c r="BV52" t="s">
        <v>86</v>
      </c>
      <c r="BY52">
        <v>1200</v>
      </c>
      <c r="BZ52" t="s">
        <v>87</v>
      </c>
      <c r="CA52" t="s">
        <v>213</v>
      </c>
      <c r="CC52" t="s">
        <v>97</v>
      </c>
      <c r="CD52">
        <v>8000</v>
      </c>
      <c r="CE52" t="s">
        <v>88</v>
      </c>
      <c r="CF52" s="3">
        <v>45944</v>
      </c>
      <c r="CI52">
        <v>1</v>
      </c>
      <c r="CJ52">
        <v>1</v>
      </c>
      <c r="CK52">
        <v>21</v>
      </c>
      <c r="CL52" t="s">
        <v>89</v>
      </c>
    </row>
    <row r="53" spans="1:90" x14ac:dyDescent="0.3">
      <c r="A53" t="s">
        <v>72</v>
      </c>
      <c r="B53" t="s">
        <v>73</v>
      </c>
      <c r="C53" t="s">
        <v>74</v>
      </c>
      <c r="E53" t="str">
        <f>"009944505568"</f>
        <v>009944505568</v>
      </c>
      <c r="F53" s="3">
        <v>45940</v>
      </c>
      <c r="G53">
        <v>202607</v>
      </c>
      <c r="H53" t="s">
        <v>79</v>
      </c>
      <c r="I53" t="s">
        <v>80</v>
      </c>
      <c r="J53" t="s">
        <v>90</v>
      </c>
      <c r="K53" t="s">
        <v>78</v>
      </c>
      <c r="L53" t="s">
        <v>96</v>
      </c>
      <c r="M53" t="s">
        <v>97</v>
      </c>
      <c r="N53" t="s">
        <v>315</v>
      </c>
      <c r="O53" t="s">
        <v>82</v>
      </c>
      <c r="P53" t="str">
        <f>"11005600HR 46004              "</f>
        <v xml:space="preserve">11005600HR 46004              </v>
      </c>
      <c r="Q53">
        <v>0</v>
      </c>
      <c r="R53">
        <v>0</v>
      </c>
      <c r="S53">
        <v>0</v>
      </c>
      <c r="T53">
        <v>0</v>
      </c>
      <c r="U53">
        <v>0</v>
      </c>
      <c r="V53">
        <v>0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Q53">
        <v>22.36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1</v>
      </c>
      <c r="BI53">
        <v>1</v>
      </c>
      <c r="BJ53">
        <v>0.2</v>
      </c>
      <c r="BK53">
        <v>1</v>
      </c>
      <c r="BL53">
        <v>70.959999999999994</v>
      </c>
      <c r="BM53">
        <v>10.64</v>
      </c>
      <c r="BN53">
        <v>81.599999999999994</v>
      </c>
      <c r="BO53">
        <v>81.599999999999994</v>
      </c>
      <c r="BP53" t="s">
        <v>209</v>
      </c>
      <c r="BQ53" t="s">
        <v>316</v>
      </c>
      <c r="BR53" t="s">
        <v>267</v>
      </c>
      <c r="BS53" s="3">
        <v>45943</v>
      </c>
      <c r="BT53" s="4">
        <v>0.41666666666666669</v>
      </c>
      <c r="BU53" t="s">
        <v>317</v>
      </c>
      <c r="BV53" t="s">
        <v>86</v>
      </c>
      <c r="BY53">
        <v>1200</v>
      </c>
      <c r="BZ53" t="s">
        <v>87</v>
      </c>
      <c r="CC53" t="s">
        <v>97</v>
      </c>
      <c r="CD53">
        <v>8001</v>
      </c>
      <c r="CE53" t="s">
        <v>88</v>
      </c>
      <c r="CF53" s="3">
        <v>45944</v>
      </c>
      <c r="CI53">
        <v>1</v>
      </c>
      <c r="CJ53">
        <v>1</v>
      </c>
      <c r="CK53">
        <v>21</v>
      </c>
      <c r="CL53" t="s">
        <v>89</v>
      </c>
    </row>
    <row r="54" spans="1:90" x14ac:dyDescent="0.3">
      <c r="A54" t="s">
        <v>72</v>
      </c>
      <c r="B54" t="s">
        <v>73</v>
      </c>
      <c r="C54" t="s">
        <v>74</v>
      </c>
      <c r="E54" t="str">
        <f>"009944219396"</f>
        <v>009944219396</v>
      </c>
      <c r="F54" s="3">
        <v>45940</v>
      </c>
      <c r="G54">
        <v>202607</v>
      </c>
      <c r="H54" t="s">
        <v>79</v>
      </c>
      <c r="I54" t="s">
        <v>80</v>
      </c>
      <c r="J54" t="s">
        <v>90</v>
      </c>
      <c r="K54" t="s">
        <v>78</v>
      </c>
      <c r="L54" t="s">
        <v>75</v>
      </c>
      <c r="M54" t="s">
        <v>76</v>
      </c>
      <c r="N54" t="s">
        <v>230</v>
      </c>
      <c r="O54" t="s">
        <v>82</v>
      </c>
      <c r="P54" t="str">
        <f>"11005000BT 402190             "</f>
        <v xml:space="preserve">11005000BT 402190             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55.86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1</v>
      </c>
      <c r="BI54">
        <v>4</v>
      </c>
      <c r="BJ54">
        <v>4.8</v>
      </c>
      <c r="BK54">
        <v>5</v>
      </c>
      <c r="BL54">
        <v>177.3</v>
      </c>
      <c r="BM54">
        <v>26.6</v>
      </c>
      <c r="BN54">
        <v>203.9</v>
      </c>
      <c r="BO54">
        <v>203.9</v>
      </c>
      <c r="BQ54" t="s">
        <v>194</v>
      </c>
      <c r="BR54" t="s">
        <v>191</v>
      </c>
      <c r="BS54" s="3">
        <v>45943</v>
      </c>
      <c r="BT54" s="4">
        <v>0.3888888888888889</v>
      </c>
      <c r="BU54" t="s">
        <v>196</v>
      </c>
      <c r="BV54" t="s">
        <v>86</v>
      </c>
      <c r="BY54">
        <v>23870</v>
      </c>
      <c r="BZ54" t="s">
        <v>87</v>
      </c>
      <c r="CA54" t="s">
        <v>197</v>
      </c>
      <c r="CC54" t="s">
        <v>76</v>
      </c>
      <c r="CD54">
        <v>4001</v>
      </c>
      <c r="CE54" t="s">
        <v>88</v>
      </c>
      <c r="CF54" s="3">
        <v>45943</v>
      </c>
      <c r="CI54">
        <v>1</v>
      </c>
      <c r="CJ54">
        <v>1</v>
      </c>
      <c r="CK54">
        <v>21</v>
      </c>
      <c r="CL54" t="s">
        <v>89</v>
      </c>
    </row>
    <row r="55" spans="1:90" x14ac:dyDescent="0.3">
      <c r="A55" t="s">
        <v>72</v>
      </c>
      <c r="B55" t="s">
        <v>73</v>
      </c>
      <c r="C55" t="s">
        <v>74</v>
      </c>
      <c r="E55" t="str">
        <f>"009944219395"</f>
        <v>009944219395</v>
      </c>
      <c r="F55" s="3">
        <v>45943</v>
      </c>
      <c r="G55">
        <v>202607</v>
      </c>
      <c r="H55" t="s">
        <v>79</v>
      </c>
      <c r="I55" t="s">
        <v>80</v>
      </c>
      <c r="J55" t="s">
        <v>90</v>
      </c>
      <c r="K55" t="s">
        <v>78</v>
      </c>
      <c r="L55" t="s">
        <v>75</v>
      </c>
      <c r="M55" t="s">
        <v>76</v>
      </c>
      <c r="N55" t="s">
        <v>230</v>
      </c>
      <c r="O55" t="s">
        <v>82</v>
      </c>
      <c r="P55" t="str">
        <f>"11005000BT 402190             "</f>
        <v xml:space="preserve">11005000BT 402190             </v>
      </c>
      <c r="Q55">
        <v>0</v>
      </c>
      <c r="R55">
        <v>0</v>
      </c>
      <c r="S55">
        <v>0</v>
      </c>
      <c r="T55">
        <v>0</v>
      </c>
      <c r="U55">
        <v>0</v>
      </c>
      <c r="V55">
        <v>0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  <c r="AI55">
        <v>0</v>
      </c>
      <c r="AJ55">
        <v>0</v>
      </c>
      <c r="AK55">
        <v>0</v>
      </c>
      <c r="AL55">
        <v>0</v>
      </c>
      <c r="AM55">
        <v>0</v>
      </c>
      <c r="AN55">
        <v>0</v>
      </c>
      <c r="AO55">
        <v>0</v>
      </c>
      <c r="AP55">
        <v>0</v>
      </c>
      <c r="AQ55">
        <v>67.03</v>
      </c>
      <c r="AR55">
        <v>0</v>
      </c>
      <c r="AS55">
        <v>0</v>
      </c>
      <c r="AT55">
        <v>0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1</v>
      </c>
      <c r="BI55">
        <v>4.5999999999999996</v>
      </c>
      <c r="BJ55">
        <v>5.7</v>
      </c>
      <c r="BK55">
        <v>6</v>
      </c>
      <c r="BL55">
        <v>212.75</v>
      </c>
      <c r="BM55">
        <v>31.91</v>
      </c>
      <c r="BN55">
        <v>244.66</v>
      </c>
      <c r="BO55">
        <v>244.66</v>
      </c>
      <c r="BP55" t="s">
        <v>318</v>
      </c>
      <c r="BQ55" t="s">
        <v>194</v>
      </c>
      <c r="BR55" t="s">
        <v>319</v>
      </c>
      <c r="BS55" s="3">
        <v>45944</v>
      </c>
      <c r="BT55" s="4">
        <v>0.43402777777777779</v>
      </c>
      <c r="BU55" t="s">
        <v>196</v>
      </c>
      <c r="BV55" t="s">
        <v>86</v>
      </c>
      <c r="BY55">
        <v>28427.1</v>
      </c>
      <c r="BZ55" t="s">
        <v>87</v>
      </c>
      <c r="CA55" t="s">
        <v>320</v>
      </c>
      <c r="CC55" t="s">
        <v>76</v>
      </c>
      <c r="CD55">
        <v>4001</v>
      </c>
      <c r="CE55" t="s">
        <v>88</v>
      </c>
      <c r="CF55" s="3">
        <v>45944</v>
      </c>
      <c r="CI55">
        <v>1</v>
      </c>
      <c r="CJ55">
        <v>1</v>
      </c>
      <c r="CK55">
        <v>21</v>
      </c>
      <c r="CL55" t="s">
        <v>89</v>
      </c>
    </row>
    <row r="56" spans="1:90" x14ac:dyDescent="0.3">
      <c r="A56" t="s">
        <v>72</v>
      </c>
      <c r="B56" t="s">
        <v>73</v>
      </c>
      <c r="C56" t="s">
        <v>74</v>
      </c>
      <c r="E56" t="str">
        <f>"009944505569"</f>
        <v>009944505569</v>
      </c>
      <c r="F56" s="3">
        <v>45943</v>
      </c>
      <c r="G56">
        <v>202607</v>
      </c>
      <c r="H56" t="s">
        <v>79</v>
      </c>
      <c r="I56" t="s">
        <v>80</v>
      </c>
      <c r="J56" t="s">
        <v>90</v>
      </c>
      <c r="K56" t="s">
        <v>78</v>
      </c>
      <c r="L56" t="s">
        <v>96</v>
      </c>
      <c r="M56" t="s">
        <v>97</v>
      </c>
      <c r="N56" t="s">
        <v>321</v>
      </c>
      <c r="O56" t="s">
        <v>101</v>
      </c>
      <c r="P56" t="str">
        <f>"11005000BT 402190             "</f>
        <v xml:space="preserve">11005000BT 402190             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5.87</v>
      </c>
      <c r="AH56">
        <v>0</v>
      </c>
      <c r="AI56">
        <v>0</v>
      </c>
      <c r="AJ56">
        <v>0</v>
      </c>
      <c r="AK56">
        <v>0</v>
      </c>
      <c r="AL56">
        <v>0</v>
      </c>
      <c r="AM56">
        <v>0</v>
      </c>
      <c r="AN56">
        <v>0</v>
      </c>
      <c r="AO56">
        <v>0</v>
      </c>
      <c r="AP56">
        <v>0</v>
      </c>
      <c r="AQ56">
        <v>64.650000000000006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2</v>
      </c>
      <c r="BI56">
        <v>16.7</v>
      </c>
      <c r="BJ56">
        <v>26.3</v>
      </c>
      <c r="BK56">
        <v>27</v>
      </c>
      <c r="BL56">
        <v>211.06</v>
      </c>
      <c r="BM56">
        <v>31.66</v>
      </c>
      <c r="BN56">
        <v>242.72</v>
      </c>
      <c r="BO56">
        <v>242.72</v>
      </c>
      <c r="BP56" t="s">
        <v>322</v>
      </c>
      <c r="BQ56" t="s">
        <v>218</v>
      </c>
      <c r="BR56" t="s">
        <v>319</v>
      </c>
      <c r="BS56" s="3">
        <v>45945</v>
      </c>
      <c r="BT56" s="4">
        <v>0.40486111111111112</v>
      </c>
      <c r="BU56" t="s">
        <v>323</v>
      </c>
      <c r="BV56" t="s">
        <v>86</v>
      </c>
      <c r="BY56">
        <v>131565.04999999999</v>
      </c>
      <c r="BZ56" t="s">
        <v>105</v>
      </c>
      <c r="CC56" t="s">
        <v>97</v>
      </c>
      <c r="CD56">
        <v>8001</v>
      </c>
      <c r="CE56" t="s">
        <v>88</v>
      </c>
      <c r="CF56" s="3">
        <v>45946</v>
      </c>
      <c r="CI56">
        <v>3</v>
      </c>
      <c r="CJ56">
        <v>2</v>
      </c>
      <c r="CK56">
        <v>41</v>
      </c>
      <c r="CL56" t="s">
        <v>89</v>
      </c>
    </row>
    <row r="57" spans="1:90" x14ac:dyDescent="0.3">
      <c r="A57" t="s">
        <v>72</v>
      </c>
      <c r="B57" t="s">
        <v>73</v>
      </c>
      <c r="C57" t="s">
        <v>74</v>
      </c>
      <c r="E57" t="str">
        <f>"080011647016"</f>
        <v>080011647016</v>
      </c>
      <c r="F57" s="3">
        <v>45943</v>
      </c>
      <c r="G57">
        <v>202607</v>
      </c>
      <c r="H57" t="s">
        <v>155</v>
      </c>
      <c r="I57" t="s">
        <v>156</v>
      </c>
      <c r="J57" t="s">
        <v>324</v>
      </c>
      <c r="K57" t="s">
        <v>78</v>
      </c>
      <c r="L57" t="s">
        <v>96</v>
      </c>
      <c r="M57" t="s">
        <v>97</v>
      </c>
      <c r="N57" t="s">
        <v>247</v>
      </c>
      <c r="O57" t="s">
        <v>82</v>
      </c>
      <c r="P57" t="str">
        <f>"-                             "</f>
        <v xml:space="preserve">-                             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>
        <v>0</v>
      </c>
      <c r="X57">
        <v>0</v>
      </c>
      <c r="Y57">
        <v>0</v>
      </c>
      <c r="Z57">
        <v>0</v>
      </c>
      <c r="AA57">
        <v>0</v>
      </c>
      <c r="AB57">
        <v>0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  <c r="AI57">
        <v>0</v>
      </c>
      <c r="AJ57">
        <v>0</v>
      </c>
      <c r="AK57">
        <v>0</v>
      </c>
      <c r="AL57">
        <v>0</v>
      </c>
      <c r="AM57">
        <v>0</v>
      </c>
      <c r="AN57">
        <v>0</v>
      </c>
      <c r="AO57">
        <v>0</v>
      </c>
      <c r="AP57">
        <v>0</v>
      </c>
      <c r="AQ57">
        <v>22.36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1</v>
      </c>
      <c r="BI57">
        <v>1.5</v>
      </c>
      <c r="BJ57">
        <v>1.1000000000000001</v>
      </c>
      <c r="BK57">
        <v>1.5</v>
      </c>
      <c r="BL57">
        <v>70.959999999999994</v>
      </c>
      <c r="BM57">
        <v>10.64</v>
      </c>
      <c r="BN57">
        <v>81.599999999999994</v>
      </c>
      <c r="BO57">
        <v>81.599999999999994</v>
      </c>
      <c r="BP57" t="s">
        <v>325</v>
      </c>
      <c r="BQ57" t="s">
        <v>248</v>
      </c>
      <c r="BR57" t="s">
        <v>326</v>
      </c>
      <c r="BS57" s="3">
        <v>45945</v>
      </c>
      <c r="BT57" s="4">
        <v>0.39652777777777776</v>
      </c>
      <c r="BU57" t="s">
        <v>201</v>
      </c>
      <c r="BV57" t="s">
        <v>89</v>
      </c>
      <c r="BW57" t="s">
        <v>113</v>
      </c>
      <c r="BX57" t="s">
        <v>327</v>
      </c>
      <c r="BY57">
        <v>5341</v>
      </c>
      <c r="BZ57" t="s">
        <v>87</v>
      </c>
      <c r="CA57" t="s">
        <v>202</v>
      </c>
      <c r="CC57" t="s">
        <v>97</v>
      </c>
      <c r="CD57">
        <v>7824</v>
      </c>
      <c r="CE57" t="s">
        <v>88</v>
      </c>
      <c r="CF57" s="3">
        <v>45946</v>
      </c>
      <c r="CI57">
        <v>1</v>
      </c>
      <c r="CJ57">
        <v>2</v>
      </c>
      <c r="CK57">
        <v>21</v>
      </c>
      <c r="CL57" t="s">
        <v>89</v>
      </c>
    </row>
    <row r="58" spans="1:90" x14ac:dyDescent="0.3">
      <c r="A58" t="s">
        <v>72</v>
      </c>
      <c r="B58" t="s">
        <v>73</v>
      </c>
      <c r="C58" t="s">
        <v>74</v>
      </c>
      <c r="E58" t="str">
        <f>"080011646108"</f>
        <v>080011646108</v>
      </c>
      <c r="F58" s="3">
        <v>45944</v>
      </c>
      <c r="G58">
        <v>202607</v>
      </c>
      <c r="H58" t="s">
        <v>79</v>
      </c>
      <c r="I58" t="s">
        <v>80</v>
      </c>
      <c r="J58" t="s">
        <v>328</v>
      </c>
      <c r="K58" t="s">
        <v>78</v>
      </c>
      <c r="L58" t="s">
        <v>126</v>
      </c>
      <c r="M58" t="s">
        <v>127</v>
      </c>
      <c r="N58" t="s">
        <v>246</v>
      </c>
      <c r="O58" t="s">
        <v>101</v>
      </c>
      <c r="P58" t="str">
        <f>"-                             "</f>
        <v xml:space="preserve">-                             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  <c r="AA58">
        <v>0</v>
      </c>
      <c r="AB58">
        <v>0</v>
      </c>
      <c r="AC58">
        <v>0</v>
      </c>
      <c r="AD58">
        <v>0</v>
      </c>
      <c r="AE58">
        <v>0</v>
      </c>
      <c r="AF58">
        <v>0</v>
      </c>
      <c r="AG58">
        <v>5.87</v>
      </c>
      <c r="AH58">
        <v>0</v>
      </c>
      <c r="AI58">
        <v>0</v>
      </c>
      <c r="AJ58">
        <v>0</v>
      </c>
      <c r="AK58">
        <v>0</v>
      </c>
      <c r="AL58">
        <v>0</v>
      </c>
      <c r="AM58">
        <v>0</v>
      </c>
      <c r="AN58">
        <v>0</v>
      </c>
      <c r="AO58">
        <v>0</v>
      </c>
      <c r="AP58">
        <v>0</v>
      </c>
      <c r="AQ58">
        <v>223.5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5</v>
      </c>
      <c r="BI58">
        <v>71.900000000000006</v>
      </c>
      <c r="BJ58">
        <v>115.5</v>
      </c>
      <c r="BK58">
        <v>116</v>
      </c>
      <c r="BL58">
        <v>715.23</v>
      </c>
      <c r="BM58">
        <v>107.28</v>
      </c>
      <c r="BN58">
        <v>822.51</v>
      </c>
      <c r="BO58">
        <v>822.51</v>
      </c>
      <c r="BQ58" t="s">
        <v>249</v>
      </c>
      <c r="BR58" t="s">
        <v>329</v>
      </c>
      <c r="BS58" s="3">
        <v>45946</v>
      </c>
      <c r="BT58" s="4">
        <v>0.5</v>
      </c>
      <c r="BU58" t="s">
        <v>330</v>
      </c>
      <c r="BV58" t="s">
        <v>86</v>
      </c>
      <c r="BY58">
        <v>577420.55000000005</v>
      </c>
      <c r="BZ58" t="s">
        <v>105</v>
      </c>
      <c r="CC58" t="s">
        <v>127</v>
      </c>
      <c r="CD58">
        <v>6001</v>
      </c>
      <c r="CE58" t="s">
        <v>88</v>
      </c>
      <c r="CF58" s="3">
        <v>45950</v>
      </c>
      <c r="CI58">
        <v>3</v>
      </c>
      <c r="CJ58">
        <v>2</v>
      </c>
      <c r="CK58">
        <v>41</v>
      </c>
      <c r="CL58" t="s">
        <v>89</v>
      </c>
    </row>
    <row r="59" spans="1:90" x14ac:dyDescent="0.3">
      <c r="A59" t="s">
        <v>72</v>
      </c>
      <c r="B59" t="s">
        <v>73</v>
      </c>
      <c r="C59" t="s">
        <v>74</v>
      </c>
      <c r="E59" t="str">
        <f>"080011647306"</f>
        <v>080011647306</v>
      </c>
      <c r="F59" s="3">
        <v>45944</v>
      </c>
      <c r="G59">
        <v>202607</v>
      </c>
      <c r="H59" t="s">
        <v>75</v>
      </c>
      <c r="I59" t="s">
        <v>76</v>
      </c>
      <c r="J59" t="s">
        <v>331</v>
      </c>
      <c r="K59" t="s">
        <v>78</v>
      </c>
      <c r="L59" t="s">
        <v>332</v>
      </c>
      <c r="M59" t="s">
        <v>333</v>
      </c>
      <c r="N59" t="s">
        <v>334</v>
      </c>
      <c r="O59" t="s">
        <v>82</v>
      </c>
      <c r="P59" t="str">
        <f>"460040 115065650IB            "</f>
        <v xml:space="preserve">460040 115065650IB            </v>
      </c>
      <c r="Q59">
        <v>0</v>
      </c>
      <c r="R59">
        <v>0</v>
      </c>
      <c r="S59">
        <v>0</v>
      </c>
      <c r="T59">
        <v>0</v>
      </c>
      <c r="U59">
        <v>0</v>
      </c>
      <c r="V59">
        <v>0</v>
      </c>
      <c r="W59">
        <v>0</v>
      </c>
      <c r="X59">
        <v>0</v>
      </c>
      <c r="Y59">
        <v>0</v>
      </c>
      <c r="Z59">
        <v>0</v>
      </c>
      <c r="AA59">
        <v>0</v>
      </c>
      <c r="AB59">
        <v>0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  <c r="AI59">
        <v>0</v>
      </c>
      <c r="AJ59">
        <v>0</v>
      </c>
      <c r="AK59">
        <v>0</v>
      </c>
      <c r="AL59">
        <v>0</v>
      </c>
      <c r="AM59">
        <v>0</v>
      </c>
      <c r="AN59">
        <v>0</v>
      </c>
      <c r="AO59">
        <v>0</v>
      </c>
      <c r="AP59">
        <v>0</v>
      </c>
      <c r="AQ59">
        <v>55.86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1</v>
      </c>
      <c r="BI59">
        <v>3</v>
      </c>
      <c r="BJ59">
        <v>4.8</v>
      </c>
      <c r="BK59">
        <v>5</v>
      </c>
      <c r="BL59">
        <v>177.3</v>
      </c>
      <c r="BM59">
        <v>26.6</v>
      </c>
      <c r="BN59">
        <v>203.9</v>
      </c>
      <c r="BO59">
        <v>203.9</v>
      </c>
      <c r="BQ59" t="s">
        <v>335</v>
      </c>
      <c r="BR59" t="s">
        <v>336</v>
      </c>
      <c r="BS59" s="3">
        <v>45945</v>
      </c>
      <c r="BT59" s="4">
        <v>0.35902777777777778</v>
      </c>
      <c r="BU59" t="s">
        <v>337</v>
      </c>
      <c r="BV59" t="s">
        <v>86</v>
      </c>
      <c r="BY59">
        <v>24000</v>
      </c>
      <c r="BZ59" t="s">
        <v>87</v>
      </c>
      <c r="CA59" t="s">
        <v>338</v>
      </c>
      <c r="CC59" t="s">
        <v>333</v>
      </c>
      <c r="CD59">
        <v>2194</v>
      </c>
      <c r="CE59" t="s">
        <v>88</v>
      </c>
      <c r="CF59" s="3">
        <v>45946</v>
      </c>
      <c r="CI59">
        <v>1</v>
      </c>
      <c r="CJ59">
        <v>1</v>
      </c>
      <c r="CK59">
        <v>21</v>
      </c>
      <c r="CL59" t="s">
        <v>89</v>
      </c>
    </row>
    <row r="60" spans="1:90" x14ac:dyDescent="0.3">
      <c r="A60" t="s">
        <v>72</v>
      </c>
      <c r="B60" t="s">
        <v>73</v>
      </c>
      <c r="C60" t="s">
        <v>74</v>
      </c>
      <c r="E60" t="str">
        <f>"009944622498"</f>
        <v>009944622498</v>
      </c>
      <c r="F60" s="3">
        <v>45944</v>
      </c>
      <c r="G60">
        <v>202607</v>
      </c>
      <c r="H60" t="s">
        <v>75</v>
      </c>
      <c r="I60" t="s">
        <v>76</v>
      </c>
      <c r="J60" t="s">
        <v>339</v>
      </c>
      <c r="K60" t="s">
        <v>78</v>
      </c>
      <c r="L60" t="s">
        <v>96</v>
      </c>
      <c r="M60" t="s">
        <v>97</v>
      </c>
      <c r="N60" t="s">
        <v>340</v>
      </c>
      <c r="O60" t="s">
        <v>82</v>
      </c>
      <c r="P60" t="str">
        <f>"                              "</f>
        <v xml:space="preserve">                              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  <c r="AM60">
        <v>0</v>
      </c>
      <c r="AN60">
        <v>0</v>
      </c>
      <c r="AO60">
        <v>0</v>
      </c>
      <c r="AP60">
        <v>0</v>
      </c>
      <c r="AQ60">
        <v>22.36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1</v>
      </c>
      <c r="BI60">
        <v>1</v>
      </c>
      <c r="BJ60">
        <v>0.2</v>
      </c>
      <c r="BK60">
        <v>1</v>
      </c>
      <c r="BL60">
        <v>70.959999999999994</v>
      </c>
      <c r="BM60">
        <v>10.64</v>
      </c>
      <c r="BN60">
        <v>81.599999999999994</v>
      </c>
      <c r="BO60">
        <v>81.599999999999994</v>
      </c>
      <c r="BR60" t="s">
        <v>341</v>
      </c>
      <c r="BS60" s="3">
        <v>45946</v>
      </c>
      <c r="BT60" s="4">
        <v>0.41111111111111109</v>
      </c>
      <c r="BU60" t="s">
        <v>342</v>
      </c>
      <c r="BV60" t="s">
        <v>86</v>
      </c>
      <c r="BY60">
        <v>1200</v>
      </c>
      <c r="BZ60" t="s">
        <v>87</v>
      </c>
      <c r="CA60" t="s">
        <v>343</v>
      </c>
      <c r="CC60" t="s">
        <v>97</v>
      </c>
      <c r="CD60">
        <v>7441</v>
      </c>
      <c r="CE60" t="s">
        <v>88</v>
      </c>
      <c r="CF60" s="3">
        <v>45947</v>
      </c>
      <c r="CI60">
        <v>2</v>
      </c>
      <c r="CJ60">
        <v>2</v>
      </c>
      <c r="CK60">
        <v>21</v>
      </c>
      <c r="CL60" t="s">
        <v>89</v>
      </c>
    </row>
    <row r="61" spans="1:90" x14ac:dyDescent="0.3">
      <c r="A61" t="s">
        <v>72</v>
      </c>
      <c r="B61" t="s">
        <v>73</v>
      </c>
      <c r="C61" t="s">
        <v>74</v>
      </c>
      <c r="E61" t="str">
        <f>"009943425373"</f>
        <v>009943425373</v>
      </c>
      <c r="F61" s="3">
        <v>45944</v>
      </c>
      <c r="G61">
        <v>202607</v>
      </c>
      <c r="H61" t="s">
        <v>79</v>
      </c>
      <c r="I61" t="s">
        <v>80</v>
      </c>
      <c r="J61" t="s">
        <v>90</v>
      </c>
      <c r="K61" t="s">
        <v>78</v>
      </c>
      <c r="L61" t="s">
        <v>187</v>
      </c>
      <c r="M61" t="s">
        <v>188</v>
      </c>
      <c r="N61" t="s">
        <v>344</v>
      </c>
      <c r="O61" t="s">
        <v>82</v>
      </c>
      <c r="P61" t="str">
        <f>"11116561PC 402190             "</f>
        <v xml:space="preserve">11116561PC 402190             </v>
      </c>
      <c r="Q61">
        <v>0</v>
      </c>
      <c r="R61">
        <v>0</v>
      </c>
      <c r="S61">
        <v>0</v>
      </c>
      <c r="T61">
        <v>0</v>
      </c>
      <c r="U61">
        <v>0</v>
      </c>
      <c r="V61">
        <v>0</v>
      </c>
      <c r="W61">
        <v>0</v>
      </c>
      <c r="X61">
        <v>0</v>
      </c>
      <c r="Y61">
        <v>0</v>
      </c>
      <c r="Z61">
        <v>0</v>
      </c>
      <c r="AA61">
        <v>0</v>
      </c>
      <c r="AB61">
        <v>0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  <c r="AM61">
        <v>0</v>
      </c>
      <c r="AN61">
        <v>0</v>
      </c>
      <c r="AO61">
        <v>0</v>
      </c>
      <c r="AP61">
        <v>0</v>
      </c>
      <c r="AQ61">
        <v>22.36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1</v>
      </c>
      <c r="BI61">
        <v>1</v>
      </c>
      <c r="BJ61">
        <v>0.2</v>
      </c>
      <c r="BK61">
        <v>1</v>
      </c>
      <c r="BL61">
        <v>70.959999999999994</v>
      </c>
      <c r="BM61">
        <v>10.64</v>
      </c>
      <c r="BN61">
        <v>81.599999999999994</v>
      </c>
      <c r="BO61">
        <v>81.599999999999994</v>
      </c>
      <c r="BP61" t="s">
        <v>318</v>
      </c>
      <c r="BQ61" t="s">
        <v>345</v>
      </c>
      <c r="BR61" t="s">
        <v>298</v>
      </c>
      <c r="BS61" s="3">
        <v>45945</v>
      </c>
      <c r="BT61" s="4">
        <v>0.6875</v>
      </c>
      <c r="BU61" t="s">
        <v>346</v>
      </c>
      <c r="BV61" t="s">
        <v>89</v>
      </c>
      <c r="BW61" t="s">
        <v>132</v>
      </c>
      <c r="BX61" t="s">
        <v>237</v>
      </c>
      <c r="BY61">
        <v>1200</v>
      </c>
      <c r="BZ61" t="s">
        <v>87</v>
      </c>
      <c r="CA61" t="s">
        <v>287</v>
      </c>
      <c r="CC61" t="s">
        <v>188</v>
      </c>
      <c r="CD61">
        <v>3610</v>
      </c>
      <c r="CE61" t="s">
        <v>88</v>
      </c>
      <c r="CF61" s="3">
        <v>45946</v>
      </c>
      <c r="CI61">
        <v>1</v>
      </c>
      <c r="CJ61">
        <v>1</v>
      </c>
      <c r="CK61">
        <v>21</v>
      </c>
      <c r="CL61" t="s">
        <v>89</v>
      </c>
    </row>
    <row r="62" spans="1:90" x14ac:dyDescent="0.3">
      <c r="A62" t="s">
        <v>72</v>
      </c>
      <c r="B62" t="s">
        <v>73</v>
      </c>
      <c r="C62" t="s">
        <v>74</v>
      </c>
      <c r="E62" t="str">
        <f>"009944505839"</f>
        <v>009944505839</v>
      </c>
      <c r="F62" s="3">
        <v>45944</v>
      </c>
      <c r="G62">
        <v>202607</v>
      </c>
      <c r="H62" t="s">
        <v>79</v>
      </c>
      <c r="I62" t="s">
        <v>80</v>
      </c>
      <c r="J62" t="s">
        <v>90</v>
      </c>
      <c r="K62" t="s">
        <v>78</v>
      </c>
      <c r="L62" t="s">
        <v>126</v>
      </c>
      <c r="M62" t="s">
        <v>127</v>
      </c>
      <c r="N62" t="s">
        <v>347</v>
      </c>
      <c r="O62" t="s">
        <v>82</v>
      </c>
      <c r="P62" t="str">
        <f>"111123OOFS 432090             "</f>
        <v xml:space="preserve">111123OOFS 432090             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  <c r="AA62">
        <v>0</v>
      </c>
      <c r="AB62">
        <v>0</v>
      </c>
      <c r="AC62">
        <v>0</v>
      </c>
      <c r="AD62">
        <v>0</v>
      </c>
      <c r="AE62">
        <v>0</v>
      </c>
      <c r="AF62">
        <v>0</v>
      </c>
      <c r="AG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0</v>
      </c>
      <c r="AP62">
        <v>0</v>
      </c>
      <c r="AQ62">
        <v>22.36</v>
      </c>
      <c r="AR62">
        <v>0</v>
      </c>
      <c r="AS62">
        <v>0</v>
      </c>
      <c r="AT62">
        <v>0</v>
      </c>
      <c r="AU62">
        <v>0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1</v>
      </c>
      <c r="BI62">
        <v>1</v>
      </c>
      <c r="BJ62">
        <v>0.2</v>
      </c>
      <c r="BK62">
        <v>1</v>
      </c>
      <c r="BL62">
        <v>70.959999999999994</v>
      </c>
      <c r="BM62">
        <v>10.64</v>
      </c>
      <c r="BN62">
        <v>81.599999999999994</v>
      </c>
      <c r="BO62">
        <v>81.599999999999994</v>
      </c>
      <c r="BP62" t="s">
        <v>318</v>
      </c>
      <c r="BQ62" t="s">
        <v>348</v>
      </c>
      <c r="BR62" t="s">
        <v>349</v>
      </c>
      <c r="BS62" s="3">
        <v>45945</v>
      </c>
      <c r="BT62" s="4">
        <v>0.34722222222222221</v>
      </c>
      <c r="BU62" t="s">
        <v>131</v>
      </c>
      <c r="BV62" t="s">
        <v>86</v>
      </c>
      <c r="BY62">
        <v>1200</v>
      </c>
      <c r="BZ62" t="s">
        <v>87</v>
      </c>
      <c r="CA62" t="s">
        <v>134</v>
      </c>
      <c r="CC62" t="s">
        <v>127</v>
      </c>
      <c r="CD62">
        <v>6045</v>
      </c>
      <c r="CE62" t="s">
        <v>88</v>
      </c>
      <c r="CF62" s="3">
        <v>45945</v>
      </c>
      <c r="CI62">
        <v>1</v>
      </c>
      <c r="CJ62">
        <v>1</v>
      </c>
      <c r="CK62">
        <v>21</v>
      </c>
      <c r="CL62" t="s">
        <v>89</v>
      </c>
    </row>
    <row r="63" spans="1:90" x14ac:dyDescent="0.3">
      <c r="A63" t="s">
        <v>72</v>
      </c>
      <c r="B63" t="s">
        <v>73</v>
      </c>
      <c r="C63" t="s">
        <v>74</v>
      </c>
      <c r="E63" t="str">
        <f>"009943425372"</f>
        <v>009943425372</v>
      </c>
      <c r="F63" s="3">
        <v>45944</v>
      </c>
      <c r="G63">
        <v>202607</v>
      </c>
      <c r="H63" t="s">
        <v>79</v>
      </c>
      <c r="I63" t="s">
        <v>80</v>
      </c>
      <c r="J63" t="s">
        <v>90</v>
      </c>
      <c r="K63" t="s">
        <v>78</v>
      </c>
      <c r="L63" t="s">
        <v>96</v>
      </c>
      <c r="M63" t="s">
        <v>97</v>
      </c>
      <c r="N63" t="s">
        <v>350</v>
      </c>
      <c r="O63" t="s">
        <v>128</v>
      </c>
      <c r="P63" t="str">
        <f>"11012551DI 460040             "</f>
        <v xml:space="preserve">11012551DI 460040             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>
        <v>0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Q63">
        <v>314.37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4</v>
      </c>
      <c r="BI63">
        <v>15</v>
      </c>
      <c r="BJ63">
        <v>14.1</v>
      </c>
      <c r="BK63">
        <v>15</v>
      </c>
      <c r="BL63">
        <v>997.78</v>
      </c>
      <c r="BM63">
        <v>149.66999999999999</v>
      </c>
      <c r="BN63">
        <v>1147.45</v>
      </c>
      <c r="BO63">
        <v>1147.45</v>
      </c>
      <c r="BP63" t="s">
        <v>351</v>
      </c>
      <c r="BQ63" t="s">
        <v>352</v>
      </c>
      <c r="BR63" t="s">
        <v>353</v>
      </c>
      <c r="BS63" s="3">
        <v>45945</v>
      </c>
      <c r="BT63" s="4">
        <v>0.60416666666666663</v>
      </c>
      <c r="BU63" t="s">
        <v>354</v>
      </c>
      <c r="BV63" t="s">
        <v>86</v>
      </c>
      <c r="BY63">
        <v>27500</v>
      </c>
      <c r="BZ63" t="s">
        <v>105</v>
      </c>
      <c r="CA63" t="s">
        <v>355</v>
      </c>
      <c r="CC63" t="s">
        <v>97</v>
      </c>
      <c r="CD63">
        <v>7806</v>
      </c>
      <c r="CE63" t="s">
        <v>88</v>
      </c>
      <c r="CF63" s="3">
        <v>45946</v>
      </c>
      <c r="CI63">
        <v>1</v>
      </c>
      <c r="CJ63">
        <v>1</v>
      </c>
      <c r="CK63">
        <v>31</v>
      </c>
      <c r="CL63" t="s">
        <v>89</v>
      </c>
    </row>
    <row r="64" spans="1:90" x14ac:dyDescent="0.3">
      <c r="A64" t="s">
        <v>122</v>
      </c>
      <c r="B64" t="s">
        <v>73</v>
      </c>
      <c r="C64" t="s">
        <v>74</v>
      </c>
      <c r="E64" t="str">
        <f>"009944954758"</f>
        <v>009944954758</v>
      </c>
      <c r="F64" s="3">
        <v>45944</v>
      </c>
      <c r="G64">
        <v>202607</v>
      </c>
      <c r="H64" t="s">
        <v>356</v>
      </c>
      <c r="I64" t="s">
        <v>357</v>
      </c>
      <c r="J64" t="s">
        <v>358</v>
      </c>
      <c r="K64" t="s">
        <v>78</v>
      </c>
      <c r="L64" t="s">
        <v>96</v>
      </c>
      <c r="M64" t="s">
        <v>97</v>
      </c>
      <c r="N64" t="s">
        <v>359</v>
      </c>
      <c r="O64" t="s">
        <v>82</v>
      </c>
      <c r="P64" t="str">
        <f>"                              "</f>
        <v xml:space="preserve">                              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>
        <v>0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Q64">
        <v>101.99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1</v>
      </c>
      <c r="BI64">
        <v>2</v>
      </c>
      <c r="BJ64">
        <v>4.8</v>
      </c>
      <c r="BK64">
        <v>5</v>
      </c>
      <c r="BL64">
        <v>323.70999999999998</v>
      </c>
      <c r="BM64">
        <v>48.56</v>
      </c>
      <c r="BN64">
        <v>372.27</v>
      </c>
      <c r="BO64">
        <v>372.27</v>
      </c>
      <c r="BR64" t="s">
        <v>360</v>
      </c>
      <c r="BS64" s="3">
        <v>45947</v>
      </c>
      <c r="BT64" s="4">
        <v>0.37291666666666667</v>
      </c>
      <c r="BU64" t="s">
        <v>361</v>
      </c>
      <c r="BV64" t="s">
        <v>89</v>
      </c>
      <c r="BW64" t="s">
        <v>113</v>
      </c>
      <c r="BX64" t="s">
        <v>362</v>
      </c>
      <c r="BY64">
        <v>24000</v>
      </c>
      <c r="BZ64" t="s">
        <v>87</v>
      </c>
      <c r="CA64" t="s">
        <v>213</v>
      </c>
      <c r="CC64" t="s">
        <v>97</v>
      </c>
      <c r="CD64">
        <v>7915</v>
      </c>
      <c r="CE64" t="s">
        <v>88</v>
      </c>
      <c r="CF64" s="3">
        <v>45950</v>
      </c>
      <c r="CI64">
        <v>2</v>
      </c>
      <c r="CJ64">
        <v>3</v>
      </c>
      <c r="CK64">
        <v>23</v>
      </c>
      <c r="CL64" t="s">
        <v>89</v>
      </c>
    </row>
    <row r="65" spans="1:90" x14ac:dyDescent="0.3">
      <c r="A65" t="s">
        <v>72</v>
      </c>
      <c r="B65" t="s">
        <v>73</v>
      </c>
      <c r="C65" t="s">
        <v>74</v>
      </c>
      <c r="E65" t="str">
        <f>"009944639772"</f>
        <v>009944639772</v>
      </c>
      <c r="F65" s="3">
        <v>45945</v>
      </c>
      <c r="G65">
        <v>202607</v>
      </c>
      <c r="H65" t="s">
        <v>75</v>
      </c>
      <c r="I65" t="s">
        <v>76</v>
      </c>
      <c r="J65" t="s">
        <v>339</v>
      </c>
      <c r="K65" t="s">
        <v>78</v>
      </c>
      <c r="L65" t="s">
        <v>79</v>
      </c>
      <c r="M65" t="s">
        <v>80</v>
      </c>
      <c r="N65" t="s">
        <v>363</v>
      </c>
      <c r="O65" t="s">
        <v>101</v>
      </c>
      <c r="P65" t="str">
        <f>"SINENHLANHLA XIMBA            "</f>
        <v xml:space="preserve">SINENHLANHLA XIMBA            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F65">
        <v>0</v>
      </c>
      <c r="AG65">
        <v>5.87</v>
      </c>
      <c r="AH65">
        <v>0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Q65">
        <v>43.23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1</v>
      </c>
      <c r="BI65">
        <v>1</v>
      </c>
      <c r="BJ65">
        <v>0.2</v>
      </c>
      <c r="BK65">
        <v>1</v>
      </c>
      <c r="BL65">
        <v>143.08000000000001</v>
      </c>
      <c r="BM65">
        <v>21.46</v>
      </c>
      <c r="BN65">
        <v>164.54</v>
      </c>
      <c r="BO65">
        <v>164.54</v>
      </c>
      <c r="BQ65" t="s">
        <v>364</v>
      </c>
      <c r="BR65" t="s">
        <v>341</v>
      </c>
      <c r="BS65" s="3">
        <v>45946</v>
      </c>
      <c r="BT65" s="4">
        <v>0.35972222222222222</v>
      </c>
      <c r="BU65" t="s">
        <v>85</v>
      </c>
      <c r="BV65" t="s">
        <v>86</v>
      </c>
      <c r="BY65">
        <v>1200</v>
      </c>
      <c r="BZ65" t="s">
        <v>105</v>
      </c>
      <c r="CA65" t="s">
        <v>121</v>
      </c>
      <c r="CC65" t="s">
        <v>80</v>
      </c>
      <c r="CD65">
        <v>2021</v>
      </c>
      <c r="CE65" t="s">
        <v>88</v>
      </c>
      <c r="CF65" s="3">
        <v>45947</v>
      </c>
      <c r="CI65">
        <v>1</v>
      </c>
      <c r="CJ65">
        <v>1</v>
      </c>
      <c r="CK65">
        <v>41</v>
      </c>
      <c r="CL65" t="s">
        <v>89</v>
      </c>
    </row>
    <row r="66" spans="1:90" x14ac:dyDescent="0.3">
      <c r="A66" t="s">
        <v>72</v>
      </c>
      <c r="B66" t="s">
        <v>73</v>
      </c>
      <c r="C66" t="s">
        <v>74</v>
      </c>
      <c r="E66" t="str">
        <f>"009944505570"</f>
        <v>009944505570</v>
      </c>
      <c r="F66" s="3">
        <v>45945</v>
      </c>
      <c r="G66">
        <v>202607</v>
      </c>
      <c r="H66" t="s">
        <v>79</v>
      </c>
      <c r="I66" t="s">
        <v>80</v>
      </c>
      <c r="J66" t="s">
        <v>90</v>
      </c>
      <c r="K66" t="s">
        <v>78</v>
      </c>
      <c r="L66" t="s">
        <v>96</v>
      </c>
      <c r="M66" t="s">
        <v>97</v>
      </c>
      <c r="N66" t="s">
        <v>315</v>
      </c>
      <c r="O66" t="s">
        <v>82</v>
      </c>
      <c r="P66" t="str">
        <f>"11005000BT 402190             "</f>
        <v xml:space="preserve">11005000BT 402190             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Q66">
        <v>72.62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1</v>
      </c>
      <c r="BI66">
        <v>3.6</v>
      </c>
      <c r="BJ66">
        <v>6.3</v>
      </c>
      <c r="BK66">
        <v>6.5</v>
      </c>
      <c r="BL66">
        <v>230.48</v>
      </c>
      <c r="BM66">
        <v>34.57</v>
      </c>
      <c r="BN66">
        <v>265.05</v>
      </c>
      <c r="BO66">
        <v>265.05</v>
      </c>
      <c r="BQ66" t="s">
        <v>365</v>
      </c>
      <c r="BR66" t="s">
        <v>191</v>
      </c>
      <c r="BS66" s="3">
        <v>45946</v>
      </c>
      <c r="BT66" s="4">
        <v>0.37708333333333333</v>
      </c>
      <c r="BU66" t="s">
        <v>366</v>
      </c>
      <c r="BV66" t="s">
        <v>86</v>
      </c>
      <c r="BY66">
        <v>31515.119999999999</v>
      </c>
      <c r="BZ66" t="s">
        <v>87</v>
      </c>
      <c r="CC66" t="s">
        <v>97</v>
      </c>
      <c r="CD66">
        <v>8001</v>
      </c>
      <c r="CE66" t="s">
        <v>88</v>
      </c>
      <c r="CF66" s="3">
        <v>45947</v>
      </c>
      <c r="CI66">
        <v>1</v>
      </c>
      <c r="CJ66">
        <v>1</v>
      </c>
      <c r="CK66">
        <v>21</v>
      </c>
      <c r="CL66" t="s">
        <v>89</v>
      </c>
    </row>
    <row r="67" spans="1:90" x14ac:dyDescent="0.3">
      <c r="A67" t="s">
        <v>72</v>
      </c>
      <c r="B67" t="s">
        <v>73</v>
      </c>
      <c r="C67" t="s">
        <v>74</v>
      </c>
      <c r="E67" t="str">
        <f>"009944219394"</f>
        <v>009944219394</v>
      </c>
      <c r="F67" s="3">
        <v>45945</v>
      </c>
      <c r="G67">
        <v>202607</v>
      </c>
      <c r="H67" t="s">
        <v>79</v>
      </c>
      <c r="I67" t="s">
        <v>80</v>
      </c>
      <c r="J67" t="s">
        <v>90</v>
      </c>
      <c r="K67" t="s">
        <v>78</v>
      </c>
      <c r="L67" t="s">
        <v>75</v>
      </c>
      <c r="M67" t="s">
        <v>76</v>
      </c>
      <c r="N67" t="s">
        <v>367</v>
      </c>
      <c r="O67" t="s">
        <v>82</v>
      </c>
      <c r="P67" t="str">
        <f>"11005000BT 402190             "</f>
        <v xml:space="preserve">11005000BT 402190             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  <c r="AA67">
        <v>0</v>
      </c>
      <c r="AB67">
        <v>0</v>
      </c>
      <c r="AC67">
        <v>0</v>
      </c>
      <c r="AD67">
        <v>0</v>
      </c>
      <c r="AE67">
        <v>0</v>
      </c>
      <c r="AF67">
        <v>0</v>
      </c>
      <c r="AG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M67">
        <v>0</v>
      </c>
      <c r="AN67">
        <v>0</v>
      </c>
      <c r="AO67">
        <v>0</v>
      </c>
      <c r="AP67">
        <v>0</v>
      </c>
      <c r="AQ67">
        <v>22.36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1</v>
      </c>
      <c r="BI67">
        <v>0.2</v>
      </c>
      <c r="BJ67">
        <v>0.9</v>
      </c>
      <c r="BK67">
        <v>1</v>
      </c>
      <c r="BL67">
        <v>70.959999999999994</v>
      </c>
      <c r="BM67">
        <v>10.64</v>
      </c>
      <c r="BN67">
        <v>81.599999999999994</v>
      </c>
      <c r="BO67">
        <v>81.599999999999994</v>
      </c>
      <c r="BQ67" t="s">
        <v>194</v>
      </c>
      <c r="BR67" t="s">
        <v>191</v>
      </c>
      <c r="BS67" s="3">
        <v>45946</v>
      </c>
      <c r="BT67" s="4">
        <v>0.38819444444444445</v>
      </c>
      <c r="BU67" t="s">
        <v>368</v>
      </c>
      <c r="BV67" t="s">
        <v>86</v>
      </c>
      <c r="BY67">
        <v>4597.5600000000004</v>
      </c>
      <c r="BZ67" t="s">
        <v>87</v>
      </c>
      <c r="CA67" t="s">
        <v>197</v>
      </c>
      <c r="CC67" t="s">
        <v>76</v>
      </c>
      <c r="CD67">
        <v>4000</v>
      </c>
      <c r="CE67" t="s">
        <v>88</v>
      </c>
      <c r="CF67" s="3">
        <v>45946</v>
      </c>
      <c r="CI67">
        <v>1</v>
      </c>
      <c r="CJ67">
        <v>1</v>
      </c>
      <c r="CK67">
        <v>21</v>
      </c>
      <c r="CL67" t="s">
        <v>89</v>
      </c>
    </row>
    <row r="68" spans="1:90" x14ac:dyDescent="0.3">
      <c r="A68" t="s">
        <v>72</v>
      </c>
      <c r="B68" t="s">
        <v>73</v>
      </c>
      <c r="C68" t="s">
        <v>74</v>
      </c>
      <c r="E68" t="str">
        <f>"009945152430"</f>
        <v>009945152430</v>
      </c>
      <c r="F68" s="3">
        <v>45944</v>
      </c>
      <c r="G68">
        <v>202607</v>
      </c>
      <c r="H68" t="s">
        <v>369</v>
      </c>
      <c r="I68" t="s">
        <v>370</v>
      </c>
      <c r="J68" t="s">
        <v>371</v>
      </c>
      <c r="K68" t="s">
        <v>78</v>
      </c>
      <c r="L68" t="s">
        <v>372</v>
      </c>
      <c r="M68" t="s">
        <v>373</v>
      </c>
      <c r="N68" t="s">
        <v>374</v>
      </c>
      <c r="O68" t="s">
        <v>375</v>
      </c>
      <c r="P68" t="str">
        <f>"                              "</f>
        <v xml:space="preserve">                              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0</v>
      </c>
      <c r="AE68">
        <v>0</v>
      </c>
      <c r="AF68">
        <v>0</v>
      </c>
      <c r="AG68">
        <v>0</v>
      </c>
      <c r="AH68">
        <v>0</v>
      </c>
      <c r="AI68">
        <v>0</v>
      </c>
      <c r="AJ68">
        <v>0</v>
      </c>
      <c r="AK68">
        <v>507.86</v>
      </c>
      <c r="AL68">
        <v>0</v>
      </c>
      <c r="AM68">
        <v>0</v>
      </c>
      <c r="AN68">
        <v>0</v>
      </c>
      <c r="AO68">
        <v>0</v>
      </c>
      <c r="AP68">
        <v>0</v>
      </c>
      <c r="AQ68">
        <v>805.03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2</v>
      </c>
      <c r="BI68">
        <v>6</v>
      </c>
      <c r="BJ68">
        <v>29</v>
      </c>
      <c r="BK68">
        <v>29</v>
      </c>
      <c r="BL68">
        <v>2555.09</v>
      </c>
      <c r="BM68">
        <v>383.26</v>
      </c>
      <c r="BN68">
        <v>2938.35</v>
      </c>
      <c r="BO68">
        <v>2938.35</v>
      </c>
      <c r="BP68" t="s">
        <v>376</v>
      </c>
      <c r="BR68" t="s">
        <v>377</v>
      </c>
      <c r="BS68" s="3">
        <v>45945</v>
      </c>
      <c r="BT68" s="4">
        <v>0.33263888888888887</v>
      </c>
      <c r="BU68" t="s">
        <v>378</v>
      </c>
      <c r="BV68" t="s">
        <v>89</v>
      </c>
      <c r="BY68">
        <v>72600</v>
      </c>
      <c r="BZ68" t="s">
        <v>379</v>
      </c>
      <c r="CC68" t="s">
        <v>373</v>
      </c>
      <c r="CD68">
        <v>7129</v>
      </c>
      <c r="CE68" t="s">
        <v>88</v>
      </c>
      <c r="CF68" s="3">
        <v>45946</v>
      </c>
      <c r="CI68">
        <v>0</v>
      </c>
      <c r="CJ68">
        <v>1</v>
      </c>
      <c r="CK68">
        <v>-1</v>
      </c>
      <c r="CL68" t="s">
        <v>89</v>
      </c>
    </row>
    <row r="69" spans="1:90" x14ac:dyDescent="0.3">
      <c r="A69" t="s">
        <v>72</v>
      </c>
      <c r="B69" t="s">
        <v>73</v>
      </c>
      <c r="C69" t="s">
        <v>74</v>
      </c>
      <c r="E69" t="str">
        <f>"080011647759"</f>
        <v>080011647759</v>
      </c>
      <c r="F69" s="3">
        <v>45946</v>
      </c>
      <c r="G69">
        <v>202607</v>
      </c>
      <c r="H69" t="s">
        <v>96</v>
      </c>
      <c r="I69" t="s">
        <v>97</v>
      </c>
      <c r="J69" t="s">
        <v>380</v>
      </c>
      <c r="K69" t="s">
        <v>78</v>
      </c>
      <c r="L69" t="s">
        <v>176</v>
      </c>
      <c r="M69" t="s">
        <v>177</v>
      </c>
      <c r="N69" t="s">
        <v>381</v>
      </c>
      <c r="O69" t="s">
        <v>82</v>
      </c>
      <c r="P69" t="str">
        <f>"402190 300050000BS            "</f>
        <v xml:space="preserve">402190 300050000BS            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33.520000000000003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1</v>
      </c>
      <c r="BI69">
        <v>1.2</v>
      </c>
      <c r="BJ69">
        <v>2.9</v>
      </c>
      <c r="BK69">
        <v>3</v>
      </c>
      <c r="BL69">
        <v>106.4</v>
      </c>
      <c r="BM69">
        <v>15.96</v>
      </c>
      <c r="BN69">
        <v>122.36</v>
      </c>
      <c r="BO69">
        <v>122.36</v>
      </c>
      <c r="BP69" t="s">
        <v>382</v>
      </c>
      <c r="BQ69" t="s">
        <v>383</v>
      </c>
      <c r="BR69" t="s">
        <v>384</v>
      </c>
      <c r="BS69" s="3">
        <v>45947</v>
      </c>
      <c r="BT69" s="4">
        <v>0.47916666666666669</v>
      </c>
      <c r="BU69" t="s">
        <v>385</v>
      </c>
      <c r="BV69" t="s">
        <v>89</v>
      </c>
      <c r="BY69">
        <v>14512.05</v>
      </c>
      <c r="BZ69" t="s">
        <v>87</v>
      </c>
      <c r="CA69" t="s">
        <v>292</v>
      </c>
      <c r="CC69" t="s">
        <v>177</v>
      </c>
      <c r="CD69">
        <v>5201</v>
      </c>
      <c r="CE69" t="s">
        <v>88</v>
      </c>
      <c r="CF69" s="3">
        <v>45947</v>
      </c>
      <c r="CI69">
        <v>1</v>
      </c>
      <c r="CJ69">
        <v>1</v>
      </c>
      <c r="CK69">
        <v>21</v>
      </c>
      <c r="CL69" t="s">
        <v>89</v>
      </c>
    </row>
    <row r="70" spans="1:90" x14ac:dyDescent="0.3">
      <c r="A70" t="s">
        <v>72</v>
      </c>
      <c r="B70" t="s">
        <v>73</v>
      </c>
      <c r="C70" t="s">
        <v>74</v>
      </c>
      <c r="E70" t="str">
        <f>"080011650110"</f>
        <v>080011650110</v>
      </c>
      <c r="F70" s="3">
        <v>45946</v>
      </c>
      <c r="G70">
        <v>202607</v>
      </c>
      <c r="H70" t="s">
        <v>155</v>
      </c>
      <c r="I70" t="s">
        <v>156</v>
      </c>
      <c r="J70" t="s">
        <v>324</v>
      </c>
      <c r="K70" t="s">
        <v>78</v>
      </c>
      <c r="L70" t="s">
        <v>386</v>
      </c>
      <c r="M70" t="s">
        <v>387</v>
      </c>
      <c r="N70" t="s">
        <v>388</v>
      </c>
      <c r="O70" t="s">
        <v>101</v>
      </c>
      <c r="P70" t="str">
        <f>"-                             "</f>
        <v xml:space="preserve">-                             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0</v>
      </c>
      <c r="AE70">
        <v>0</v>
      </c>
      <c r="AF70">
        <v>0</v>
      </c>
      <c r="AG70">
        <v>5.87</v>
      </c>
      <c r="AH70">
        <v>0</v>
      </c>
      <c r="AI70">
        <v>0</v>
      </c>
      <c r="AJ70">
        <v>0</v>
      </c>
      <c r="AK70">
        <v>0</v>
      </c>
      <c r="AL70">
        <v>0</v>
      </c>
      <c r="AM70">
        <v>0</v>
      </c>
      <c r="AN70">
        <v>0</v>
      </c>
      <c r="AO70">
        <v>0</v>
      </c>
      <c r="AP70">
        <v>0</v>
      </c>
      <c r="AQ70">
        <v>43.23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1</v>
      </c>
      <c r="BI70">
        <v>5.8</v>
      </c>
      <c r="BJ70">
        <v>14.2</v>
      </c>
      <c r="BK70">
        <v>15</v>
      </c>
      <c r="BL70">
        <v>143.08000000000001</v>
      </c>
      <c r="BM70">
        <v>21.46</v>
      </c>
      <c r="BN70">
        <v>164.54</v>
      </c>
      <c r="BO70">
        <v>164.54</v>
      </c>
      <c r="BQ70" t="s">
        <v>389</v>
      </c>
      <c r="BR70" t="s">
        <v>390</v>
      </c>
      <c r="BS70" s="3">
        <v>45947</v>
      </c>
      <c r="BT70" s="4">
        <v>0.5395833333333333</v>
      </c>
      <c r="BU70" t="s">
        <v>391</v>
      </c>
      <c r="BV70" t="s">
        <v>86</v>
      </c>
      <c r="BY70">
        <v>70955.19</v>
      </c>
      <c r="BZ70" t="s">
        <v>105</v>
      </c>
      <c r="CA70" t="s">
        <v>392</v>
      </c>
      <c r="CC70" t="s">
        <v>387</v>
      </c>
      <c r="CD70">
        <v>1200</v>
      </c>
      <c r="CE70" t="s">
        <v>88</v>
      </c>
      <c r="CF70" s="3">
        <v>45947</v>
      </c>
      <c r="CI70">
        <v>1</v>
      </c>
      <c r="CJ70">
        <v>1</v>
      </c>
      <c r="CK70">
        <v>41</v>
      </c>
      <c r="CL70" t="s">
        <v>89</v>
      </c>
    </row>
    <row r="71" spans="1:90" x14ac:dyDescent="0.3">
      <c r="A71" t="s">
        <v>72</v>
      </c>
      <c r="B71" t="s">
        <v>73</v>
      </c>
      <c r="C71" t="s">
        <v>74</v>
      </c>
      <c r="E71" t="str">
        <f>"080011650291"</f>
        <v>080011650291</v>
      </c>
      <c r="F71" s="3">
        <v>45946</v>
      </c>
      <c r="G71">
        <v>202607</v>
      </c>
      <c r="H71" t="s">
        <v>155</v>
      </c>
      <c r="I71" t="s">
        <v>156</v>
      </c>
      <c r="J71" t="s">
        <v>324</v>
      </c>
      <c r="K71" t="s">
        <v>78</v>
      </c>
      <c r="L71" t="s">
        <v>393</v>
      </c>
      <c r="M71" t="s">
        <v>394</v>
      </c>
      <c r="N71" t="s">
        <v>395</v>
      </c>
      <c r="O71" t="s">
        <v>101</v>
      </c>
      <c r="P71" t="str">
        <f>"Order no G370570              "</f>
        <v xml:space="preserve">Order no G370570              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0</v>
      </c>
      <c r="AE71">
        <v>0</v>
      </c>
      <c r="AF71">
        <v>0</v>
      </c>
      <c r="AG71">
        <v>5.87</v>
      </c>
      <c r="AH71">
        <v>0</v>
      </c>
      <c r="AI71">
        <v>0</v>
      </c>
      <c r="AJ71">
        <v>0</v>
      </c>
      <c r="AK71">
        <v>0</v>
      </c>
      <c r="AL71">
        <v>0</v>
      </c>
      <c r="AM71">
        <v>0</v>
      </c>
      <c r="AN71">
        <v>0</v>
      </c>
      <c r="AO71">
        <v>0</v>
      </c>
      <c r="AP71">
        <v>0</v>
      </c>
      <c r="AQ71">
        <v>185.54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16.739999999999998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3</v>
      </c>
      <c r="BI71">
        <v>44.3</v>
      </c>
      <c r="BJ71">
        <v>55</v>
      </c>
      <c r="BK71">
        <v>55</v>
      </c>
      <c r="BL71">
        <v>611.5</v>
      </c>
      <c r="BM71">
        <v>91.73</v>
      </c>
      <c r="BN71">
        <v>703.23</v>
      </c>
      <c r="BO71">
        <v>703.23</v>
      </c>
      <c r="BP71" t="s">
        <v>396</v>
      </c>
      <c r="BQ71" t="s">
        <v>397</v>
      </c>
      <c r="BR71" t="s">
        <v>390</v>
      </c>
      <c r="BS71" s="3">
        <v>45952</v>
      </c>
      <c r="BT71" s="4">
        <v>0.54861111111111116</v>
      </c>
      <c r="BU71" t="s">
        <v>398</v>
      </c>
      <c r="BV71" t="s">
        <v>86</v>
      </c>
      <c r="BY71">
        <v>275013.23</v>
      </c>
      <c r="BZ71" t="s">
        <v>399</v>
      </c>
      <c r="CA71" t="s">
        <v>400</v>
      </c>
      <c r="CC71" t="s">
        <v>394</v>
      </c>
      <c r="CD71">
        <v>3866</v>
      </c>
      <c r="CE71" t="s">
        <v>88</v>
      </c>
      <c r="CF71" s="3">
        <v>45952</v>
      </c>
      <c r="CI71">
        <v>6</v>
      </c>
      <c r="CJ71">
        <v>4</v>
      </c>
      <c r="CK71">
        <v>43</v>
      </c>
      <c r="CL71" t="s">
        <v>89</v>
      </c>
    </row>
    <row r="72" spans="1:90" x14ac:dyDescent="0.3">
      <c r="A72" t="s">
        <v>72</v>
      </c>
      <c r="B72" t="s">
        <v>73</v>
      </c>
      <c r="C72" t="s">
        <v>74</v>
      </c>
      <c r="E72" t="str">
        <f>"009942927006"</f>
        <v>009942927006</v>
      </c>
      <c r="F72" s="3">
        <v>45946</v>
      </c>
      <c r="G72">
        <v>202607</v>
      </c>
      <c r="H72" t="s">
        <v>79</v>
      </c>
      <c r="I72" t="s">
        <v>80</v>
      </c>
      <c r="J72" t="s">
        <v>90</v>
      </c>
      <c r="K72" t="s">
        <v>78</v>
      </c>
      <c r="L72" t="s">
        <v>260</v>
      </c>
      <c r="M72" t="s">
        <v>261</v>
      </c>
      <c r="N72" t="s">
        <v>401</v>
      </c>
      <c r="O72" t="s">
        <v>82</v>
      </c>
      <c r="P72" t="str">
        <f>"18252432FS 460040             "</f>
        <v xml:space="preserve">18252432FS 460040             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0</v>
      </c>
      <c r="AA72">
        <v>0</v>
      </c>
      <c r="AB72">
        <v>0</v>
      </c>
      <c r="AC72">
        <v>0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  <c r="AM72">
        <v>0</v>
      </c>
      <c r="AN72">
        <v>0</v>
      </c>
      <c r="AO72">
        <v>0</v>
      </c>
      <c r="AP72">
        <v>0</v>
      </c>
      <c r="AQ72">
        <v>22.36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1</v>
      </c>
      <c r="BI72">
        <v>1</v>
      </c>
      <c r="BJ72">
        <v>0.2</v>
      </c>
      <c r="BK72">
        <v>1</v>
      </c>
      <c r="BL72">
        <v>70.959999999999994</v>
      </c>
      <c r="BM72">
        <v>10.64</v>
      </c>
      <c r="BN72">
        <v>81.599999999999994</v>
      </c>
      <c r="BO72">
        <v>81.599999999999994</v>
      </c>
      <c r="BP72" t="s">
        <v>402</v>
      </c>
      <c r="BQ72" t="s">
        <v>403</v>
      </c>
      <c r="BR72" t="s">
        <v>404</v>
      </c>
      <c r="BS72" s="3">
        <v>45947</v>
      </c>
      <c r="BT72" s="4">
        <v>0.56805555555555554</v>
      </c>
      <c r="BU72" t="s">
        <v>405</v>
      </c>
      <c r="BV72" t="s">
        <v>89</v>
      </c>
      <c r="BW72" t="s">
        <v>132</v>
      </c>
      <c r="BX72" t="s">
        <v>406</v>
      </c>
      <c r="BY72">
        <v>1200</v>
      </c>
      <c r="BZ72" t="s">
        <v>87</v>
      </c>
      <c r="CA72" t="s">
        <v>265</v>
      </c>
      <c r="CC72" t="s">
        <v>261</v>
      </c>
      <c r="CD72">
        <v>4300</v>
      </c>
      <c r="CE72" t="s">
        <v>88</v>
      </c>
      <c r="CF72" s="3">
        <v>45948</v>
      </c>
      <c r="CI72">
        <v>1</v>
      </c>
      <c r="CJ72">
        <v>1</v>
      </c>
      <c r="CK72">
        <v>21</v>
      </c>
      <c r="CL72" t="s">
        <v>89</v>
      </c>
    </row>
    <row r="73" spans="1:90" x14ac:dyDescent="0.3">
      <c r="A73" t="s">
        <v>72</v>
      </c>
      <c r="B73" t="s">
        <v>73</v>
      </c>
      <c r="C73" t="s">
        <v>74</v>
      </c>
      <c r="E73" t="str">
        <f>"009943054762"</f>
        <v>009943054762</v>
      </c>
      <c r="F73" s="3">
        <v>45946</v>
      </c>
      <c r="G73">
        <v>202607</v>
      </c>
      <c r="H73" t="s">
        <v>79</v>
      </c>
      <c r="I73" t="s">
        <v>80</v>
      </c>
      <c r="J73" t="s">
        <v>90</v>
      </c>
      <c r="K73" t="s">
        <v>78</v>
      </c>
      <c r="L73" t="s">
        <v>75</v>
      </c>
      <c r="M73" t="s">
        <v>76</v>
      </c>
      <c r="N73" t="s">
        <v>407</v>
      </c>
      <c r="O73" t="s">
        <v>101</v>
      </c>
      <c r="P73" t="str">
        <f>"11116561PC 402190             "</f>
        <v xml:space="preserve">11116561PC 402190             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0</v>
      </c>
      <c r="AE73">
        <v>0</v>
      </c>
      <c r="AF73">
        <v>0</v>
      </c>
      <c r="AG73">
        <v>5.87</v>
      </c>
      <c r="AH73">
        <v>0</v>
      </c>
      <c r="AI73">
        <v>0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0</v>
      </c>
      <c r="AP73">
        <v>0</v>
      </c>
      <c r="AQ73">
        <v>43.23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1</v>
      </c>
      <c r="BI73">
        <v>0.5</v>
      </c>
      <c r="BJ73">
        <v>0.8</v>
      </c>
      <c r="BK73">
        <v>1</v>
      </c>
      <c r="BL73">
        <v>143.08000000000001</v>
      </c>
      <c r="BM73">
        <v>21.46</v>
      </c>
      <c r="BN73">
        <v>164.54</v>
      </c>
      <c r="BO73">
        <v>164.54</v>
      </c>
      <c r="BP73" t="s">
        <v>318</v>
      </c>
      <c r="BQ73" t="s">
        <v>408</v>
      </c>
      <c r="BR73" t="s">
        <v>298</v>
      </c>
      <c r="BS73" s="3">
        <v>45950</v>
      </c>
      <c r="BT73" s="4">
        <v>0.35833333333333334</v>
      </c>
      <c r="BU73" t="s">
        <v>278</v>
      </c>
      <c r="BV73" t="s">
        <v>89</v>
      </c>
      <c r="BW73" t="s">
        <v>132</v>
      </c>
      <c r="BX73" t="s">
        <v>237</v>
      </c>
      <c r="BY73">
        <v>4104</v>
      </c>
      <c r="BZ73" t="s">
        <v>105</v>
      </c>
      <c r="CA73" t="s">
        <v>95</v>
      </c>
      <c r="CC73" t="s">
        <v>76</v>
      </c>
      <c r="CD73">
        <v>4000</v>
      </c>
      <c r="CE73" t="s">
        <v>88</v>
      </c>
      <c r="CF73" s="3">
        <v>45951</v>
      </c>
      <c r="CI73">
        <v>1</v>
      </c>
      <c r="CJ73">
        <v>2</v>
      </c>
      <c r="CK73">
        <v>41</v>
      </c>
      <c r="CL73" t="s">
        <v>89</v>
      </c>
    </row>
    <row r="74" spans="1:90" x14ac:dyDescent="0.3">
      <c r="A74" t="s">
        <v>72</v>
      </c>
      <c r="B74" t="s">
        <v>73</v>
      </c>
      <c r="C74" t="s">
        <v>74</v>
      </c>
      <c r="E74" t="str">
        <f>"009943054868"</f>
        <v>009943054868</v>
      </c>
      <c r="F74" s="3">
        <v>45946</v>
      </c>
      <c r="G74">
        <v>202607</v>
      </c>
      <c r="H74" t="s">
        <v>79</v>
      </c>
      <c r="I74" t="s">
        <v>80</v>
      </c>
      <c r="J74" t="s">
        <v>90</v>
      </c>
      <c r="K74" t="s">
        <v>78</v>
      </c>
      <c r="L74" t="s">
        <v>260</v>
      </c>
      <c r="M74" t="s">
        <v>261</v>
      </c>
      <c r="N74" t="s">
        <v>262</v>
      </c>
      <c r="O74" t="s">
        <v>82</v>
      </c>
      <c r="P74" t="str">
        <f>"11116561PC 402190             "</f>
        <v xml:space="preserve">11116561PC 402190             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22.36</v>
      </c>
      <c r="AR74">
        <v>0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1</v>
      </c>
      <c r="BI74">
        <v>1</v>
      </c>
      <c r="BJ74">
        <v>0.2</v>
      </c>
      <c r="BK74">
        <v>1</v>
      </c>
      <c r="BL74">
        <v>70.959999999999994</v>
      </c>
      <c r="BM74">
        <v>10.64</v>
      </c>
      <c r="BN74">
        <v>81.599999999999994</v>
      </c>
      <c r="BO74">
        <v>81.599999999999994</v>
      </c>
      <c r="BP74" t="s">
        <v>318</v>
      </c>
      <c r="BQ74" t="s">
        <v>263</v>
      </c>
      <c r="BR74" t="s">
        <v>298</v>
      </c>
      <c r="BS74" s="3">
        <v>45947</v>
      </c>
      <c r="BT74" s="4">
        <v>0.56805555555555554</v>
      </c>
      <c r="BU74" t="s">
        <v>409</v>
      </c>
      <c r="BV74" t="s">
        <v>89</v>
      </c>
      <c r="BW74" t="s">
        <v>132</v>
      </c>
      <c r="BX74" t="s">
        <v>406</v>
      </c>
      <c r="BY74">
        <v>1200</v>
      </c>
      <c r="BZ74" t="s">
        <v>87</v>
      </c>
      <c r="CA74" t="s">
        <v>265</v>
      </c>
      <c r="CC74" t="s">
        <v>261</v>
      </c>
      <c r="CD74">
        <v>4302</v>
      </c>
      <c r="CE74" t="s">
        <v>88</v>
      </c>
      <c r="CF74" s="3">
        <v>45948</v>
      </c>
      <c r="CI74">
        <v>1</v>
      </c>
      <c r="CJ74">
        <v>1</v>
      </c>
      <c r="CK74">
        <v>21</v>
      </c>
      <c r="CL74" t="s">
        <v>89</v>
      </c>
    </row>
    <row r="75" spans="1:90" x14ac:dyDescent="0.3">
      <c r="A75" t="s">
        <v>72</v>
      </c>
      <c r="B75" t="s">
        <v>73</v>
      </c>
      <c r="C75" t="s">
        <v>74</v>
      </c>
      <c r="E75" t="str">
        <f>"009944219393"</f>
        <v>009944219393</v>
      </c>
      <c r="F75" s="3">
        <v>45946</v>
      </c>
      <c r="G75">
        <v>202607</v>
      </c>
      <c r="H75" t="s">
        <v>79</v>
      </c>
      <c r="I75" t="s">
        <v>80</v>
      </c>
      <c r="J75" t="s">
        <v>90</v>
      </c>
      <c r="K75" t="s">
        <v>78</v>
      </c>
      <c r="L75" t="s">
        <v>75</v>
      </c>
      <c r="M75" t="s">
        <v>76</v>
      </c>
      <c r="N75" t="s">
        <v>193</v>
      </c>
      <c r="O75" t="s">
        <v>82</v>
      </c>
      <c r="P75" t="str">
        <f>"11116561PC 402190             "</f>
        <v xml:space="preserve">11116561PC 402190             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Q75">
        <v>22.36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1</v>
      </c>
      <c r="BI75">
        <v>1</v>
      </c>
      <c r="BJ75">
        <v>0.2</v>
      </c>
      <c r="BK75">
        <v>1</v>
      </c>
      <c r="BL75">
        <v>70.959999999999994</v>
      </c>
      <c r="BM75">
        <v>10.64</v>
      </c>
      <c r="BN75">
        <v>81.599999999999994</v>
      </c>
      <c r="BO75">
        <v>81.599999999999994</v>
      </c>
      <c r="BP75" t="s">
        <v>318</v>
      </c>
      <c r="BQ75" t="s">
        <v>410</v>
      </c>
      <c r="BR75" t="s">
        <v>298</v>
      </c>
      <c r="BS75" s="3">
        <v>45947</v>
      </c>
      <c r="BT75" s="4">
        <v>0.43125000000000002</v>
      </c>
      <c r="BU75" t="s">
        <v>411</v>
      </c>
      <c r="BV75" t="s">
        <v>86</v>
      </c>
      <c r="BY75">
        <v>1200</v>
      </c>
      <c r="BZ75" t="s">
        <v>87</v>
      </c>
      <c r="CA75" t="s">
        <v>197</v>
      </c>
      <c r="CC75" t="s">
        <v>76</v>
      </c>
      <c r="CD75">
        <v>4001</v>
      </c>
      <c r="CE75" t="s">
        <v>88</v>
      </c>
      <c r="CF75" s="3">
        <v>45947</v>
      </c>
      <c r="CI75">
        <v>1</v>
      </c>
      <c r="CJ75">
        <v>1</v>
      </c>
      <c r="CK75">
        <v>21</v>
      </c>
      <c r="CL75" t="s">
        <v>89</v>
      </c>
    </row>
    <row r="76" spans="1:90" x14ac:dyDescent="0.3">
      <c r="A76" t="s">
        <v>72</v>
      </c>
      <c r="B76" t="s">
        <v>73</v>
      </c>
      <c r="C76" t="s">
        <v>74</v>
      </c>
      <c r="E76" t="str">
        <f>"009943425371"</f>
        <v>009943425371</v>
      </c>
      <c r="F76" s="3">
        <v>45946</v>
      </c>
      <c r="G76">
        <v>202607</v>
      </c>
      <c r="H76" t="s">
        <v>79</v>
      </c>
      <c r="I76" t="s">
        <v>80</v>
      </c>
      <c r="J76" t="s">
        <v>90</v>
      </c>
      <c r="K76" t="s">
        <v>78</v>
      </c>
      <c r="L76" t="s">
        <v>75</v>
      </c>
      <c r="M76" t="s">
        <v>76</v>
      </c>
      <c r="N76" t="s">
        <v>234</v>
      </c>
      <c r="O76" t="s">
        <v>82</v>
      </c>
      <c r="P76" t="str">
        <f>"11116561PC 402190             "</f>
        <v xml:space="preserve">11116561PC 402190             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Q76">
        <v>83.78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1</v>
      </c>
      <c r="BI76">
        <v>1</v>
      </c>
      <c r="BJ76">
        <v>7.2</v>
      </c>
      <c r="BK76">
        <v>7.5</v>
      </c>
      <c r="BL76">
        <v>265.92</v>
      </c>
      <c r="BM76">
        <v>39.89</v>
      </c>
      <c r="BN76">
        <v>305.81</v>
      </c>
      <c r="BO76">
        <v>305.81</v>
      </c>
      <c r="BP76" t="s">
        <v>318</v>
      </c>
      <c r="BQ76" t="s">
        <v>235</v>
      </c>
      <c r="BR76" t="s">
        <v>298</v>
      </c>
      <c r="BS76" s="3">
        <v>45947</v>
      </c>
      <c r="BT76" s="4">
        <v>0.39513888888888887</v>
      </c>
      <c r="BU76" t="s">
        <v>236</v>
      </c>
      <c r="BV76" t="s">
        <v>86</v>
      </c>
      <c r="BY76">
        <v>36000</v>
      </c>
      <c r="BZ76" t="s">
        <v>87</v>
      </c>
      <c r="CA76" t="s">
        <v>238</v>
      </c>
      <c r="CC76" t="s">
        <v>76</v>
      </c>
      <c r="CD76">
        <v>4052</v>
      </c>
      <c r="CE76" t="s">
        <v>88</v>
      </c>
      <c r="CF76" s="3">
        <v>45947</v>
      </c>
      <c r="CI76">
        <v>1</v>
      </c>
      <c r="CJ76">
        <v>1</v>
      </c>
      <c r="CK76">
        <v>21</v>
      </c>
      <c r="CL76" t="s">
        <v>89</v>
      </c>
    </row>
    <row r="77" spans="1:90" x14ac:dyDescent="0.3">
      <c r="A77" t="s">
        <v>72</v>
      </c>
      <c r="B77" t="s">
        <v>73</v>
      </c>
      <c r="C77" t="s">
        <v>74</v>
      </c>
      <c r="E77" t="str">
        <f>"009945204299"</f>
        <v>009945204299</v>
      </c>
      <c r="F77" s="3">
        <v>45947</v>
      </c>
      <c r="G77">
        <v>202607</v>
      </c>
      <c r="H77" t="s">
        <v>75</v>
      </c>
      <c r="I77" t="s">
        <v>76</v>
      </c>
      <c r="J77" t="s">
        <v>339</v>
      </c>
      <c r="K77" t="s">
        <v>78</v>
      </c>
      <c r="L77" t="s">
        <v>412</v>
      </c>
      <c r="M77" t="s">
        <v>413</v>
      </c>
      <c r="N77" t="s">
        <v>414</v>
      </c>
      <c r="O77" t="s">
        <v>82</v>
      </c>
      <c r="P77" t="str">
        <f>"DUR240430987                  "</f>
        <v xml:space="preserve">DUR240430987                  </v>
      </c>
      <c r="Q77">
        <v>0</v>
      </c>
      <c r="R77">
        <v>0</v>
      </c>
      <c r="S77">
        <v>0</v>
      </c>
      <c r="T77">
        <v>0</v>
      </c>
      <c r="U77">
        <v>0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150.88999999999999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1</v>
      </c>
      <c r="BI77">
        <v>1</v>
      </c>
      <c r="BJ77">
        <v>7.2</v>
      </c>
      <c r="BK77">
        <v>7.5</v>
      </c>
      <c r="BL77">
        <v>478.91</v>
      </c>
      <c r="BM77">
        <v>71.84</v>
      </c>
      <c r="BN77">
        <v>550.75</v>
      </c>
      <c r="BO77">
        <v>550.75</v>
      </c>
      <c r="BQ77" t="s">
        <v>415</v>
      </c>
      <c r="BR77" t="s">
        <v>416</v>
      </c>
      <c r="BS77" s="3">
        <v>45950</v>
      </c>
      <c r="BT77" s="4">
        <v>0.42916666666666664</v>
      </c>
      <c r="BU77" t="s">
        <v>417</v>
      </c>
      <c r="BV77" t="s">
        <v>86</v>
      </c>
      <c r="BY77">
        <v>36000</v>
      </c>
      <c r="BZ77" t="s">
        <v>105</v>
      </c>
      <c r="CA77" t="s">
        <v>418</v>
      </c>
      <c r="CC77" t="s">
        <v>413</v>
      </c>
      <c r="CD77">
        <v>3900</v>
      </c>
      <c r="CE77" t="s">
        <v>88</v>
      </c>
      <c r="CF77" s="3">
        <v>45950</v>
      </c>
      <c r="CI77">
        <v>1</v>
      </c>
      <c r="CJ77">
        <v>1</v>
      </c>
      <c r="CK77">
        <v>23</v>
      </c>
      <c r="CL77" t="s">
        <v>89</v>
      </c>
    </row>
    <row r="78" spans="1:90" x14ac:dyDescent="0.3">
      <c r="A78" t="s">
        <v>72</v>
      </c>
      <c r="B78" t="s">
        <v>73</v>
      </c>
      <c r="C78" t="s">
        <v>74</v>
      </c>
      <c r="E78" t="str">
        <f>"009943099018"</f>
        <v>009943099018</v>
      </c>
      <c r="F78" s="3">
        <v>45947</v>
      </c>
      <c r="G78">
        <v>202607</v>
      </c>
      <c r="H78" t="s">
        <v>79</v>
      </c>
      <c r="I78" t="s">
        <v>80</v>
      </c>
      <c r="J78" t="s">
        <v>90</v>
      </c>
      <c r="K78" t="s">
        <v>78</v>
      </c>
      <c r="L78" t="s">
        <v>96</v>
      </c>
      <c r="M78" t="s">
        <v>97</v>
      </c>
      <c r="N78" t="s">
        <v>419</v>
      </c>
      <c r="O78" t="s">
        <v>82</v>
      </c>
      <c r="P78" t="str">
        <f>"11004530FN 460040             "</f>
        <v xml:space="preserve">11004530FN 460040             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Q78">
        <v>22.36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1</v>
      </c>
      <c r="BI78">
        <v>1.4</v>
      </c>
      <c r="BJ78">
        <v>1.3</v>
      </c>
      <c r="BK78">
        <v>1.5</v>
      </c>
      <c r="BL78">
        <v>70.959999999999994</v>
      </c>
      <c r="BM78">
        <v>10.64</v>
      </c>
      <c r="BN78">
        <v>81.599999999999994</v>
      </c>
      <c r="BO78">
        <v>81.599999999999994</v>
      </c>
      <c r="BQ78" t="s">
        <v>420</v>
      </c>
      <c r="BR78" t="s">
        <v>421</v>
      </c>
      <c r="BS78" s="3">
        <v>45950</v>
      </c>
      <c r="BT78" s="4">
        <v>0.42777777777777776</v>
      </c>
      <c r="BU78" t="s">
        <v>120</v>
      </c>
      <c r="BV78" t="s">
        <v>86</v>
      </c>
      <c r="BY78">
        <v>6389.76</v>
      </c>
      <c r="BZ78" t="s">
        <v>87</v>
      </c>
      <c r="CA78" t="s">
        <v>142</v>
      </c>
      <c r="CC78" t="s">
        <v>97</v>
      </c>
      <c r="CD78">
        <v>7535</v>
      </c>
      <c r="CE78" t="s">
        <v>88</v>
      </c>
      <c r="CF78" s="3">
        <v>45951</v>
      </c>
      <c r="CI78">
        <v>1</v>
      </c>
      <c r="CJ78">
        <v>1</v>
      </c>
      <c r="CK78">
        <v>21</v>
      </c>
      <c r="CL78" t="s">
        <v>89</v>
      </c>
    </row>
    <row r="79" spans="1:90" x14ac:dyDescent="0.3">
      <c r="A79" t="s">
        <v>72</v>
      </c>
      <c r="B79" t="s">
        <v>73</v>
      </c>
      <c r="C79" t="s">
        <v>74</v>
      </c>
      <c r="E79" t="str">
        <f>"009944505572"</f>
        <v>009944505572</v>
      </c>
      <c r="F79" s="3">
        <v>45947</v>
      </c>
      <c r="G79">
        <v>202607</v>
      </c>
      <c r="H79" t="s">
        <v>79</v>
      </c>
      <c r="I79" t="s">
        <v>80</v>
      </c>
      <c r="J79" t="s">
        <v>422</v>
      </c>
      <c r="K79" t="s">
        <v>78</v>
      </c>
      <c r="L79" t="s">
        <v>96</v>
      </c>
      <c r="M79" t="s">
        <v>97</v>
      </c>
      <c r="N79" t="s">
        <v>321</v>
      </c>
      <c r="O79" t="s">
        <v>101</v>
      </c>
      <c r="P79" t="str">
        <f>"11005000BT 402190             "</f>
        <v xml:space="preserve">11005000BT 402190             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5.87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0</v>
      </c>
      <c r="AO79">
        <v>0</v>
      </c>
      <c r="AP79">
        <v>0</v>
      </c>
      <c r="AQ79">
        <v>141.38999999999999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11</v>
      </c>
      <c r="BI79">
        <v>44.2</v>
      </c>
      <c r="BJ79">
        <v>69.599999999999994</v>
      </c>
      <c r="BK79">
        <v>70</v>
      </c>
      <c r="BL79">
        <v>454.64</v>
      </c>
      <c r="BM79">
        <v>68.2</v>
      </c>
      <c r="BN79">
        <v>522.84</v>
      </c>
      <c r="BO79">
        <v>522.84</v>
      </c>
      <c r="BQ79" t="s">
        <v>218</v>
      </c>
      <c r="BR79" t="s">
        <v>319</v>
      </c>
      <c r="BS79" s="3">
        <v>45950</v>
      </c>
      <c r="BT79" s="4">
        <v>0.41666666666666669</v>
      </c>
      <c r="BU79" t="s">
        <v>423</v>
      </c>
      <c r="BV79" t="s">
        <v>86</v>
      </c>
      <c r="BY79">
        <v>348204.2</v>
      </c>
      <c r="BZ79" t="s">
        <v>105</v>
      </c>
      <c r="CC79" t="s">
        <v>97</v>
      </c>
      <c r="CD79">
        <v>8001</v>
      </c>
      <c r="CE79" t="s">
        <v>88</v>
      </c>
      <c r="CF79" s="3">
        <v>45951</v>
      </c>
      <c r="CI79">
        <v>3</v>
      </c>
      <c r="CJ79">
        <v>1</v>
      </c>
      <c r="CK79">
        <v>41</v>
      </c>
      <c r="CL79" t="s">
        <v>89</v>
      </c>
    </row>
    <row r="80" spans="1:90" x14ac:dyDescent="0.3">
      <c r="A80" t="s">
        <v>72</v>
      </c>
      <c r="B80" t="s">
        <v>73</v>
      </c>
      <c r="C80" t="s">
        <v>74</v>
      </c>
      <c r="E80" t="str">
        <f>"009944505571"</f>
        <v>009944505571</v>
      </c>
      <c r="F80" s="3">
        <v>45947</v>
      </c>
      <c r="G80">
        <v>202607</v>
      </c>
      <c r="H80" t="s">
        <v>79</v>
      </c>
      <c r="I80" t="s">
        <v>80</v>
      </c>
      <c r="J80" t="s">
        <v>90</v>
      </c>
      <c r="K80" t="s">
        <v>78</v>
      </c>
      <c r="L80" t="s">
        <v>96</v>
      </c>
      <c r="M80" t="s">
        <v>97</v>
      </c>
      <c r="N80" t="s">
        <v>315</v>
      </c>
      <c r="O80" t="s">
        <v>82</v>
      </c>
      <c r="P80" t="str">
        <f>"11005500HR 460040             "</f>
        <v xml:space="preserve">11005500HR 460040             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0</v>
      </c>
      <c r="AE80">
        <v>0</v>
      </c>
      <c r="AF80">
        <v>0</v>
      </c>
      <c r="AG80">
        <v>0</v>
      </c>
      <c r="AH80">
        <v>0</v>
      </c>
      <c r="AI80">
        <v>0</v>
      </c>
      <c r="AJ80">
        <v>0</v>
      </c>
      <c r="AK80">
        <v>0</v>
      </c>
      <c r="AL80">
        <v>0</v>
      </c>
      <c r="AM80">
        <v>0</v>
      </c>
      <c r="AN80">
        <v>0</v>
      </c>
      <c r="AO80">
        <v>0</v>
      </c>
      <c r="AP80">
        <v>0</v>
      </c>
      <c r="AQ80">
        <v>22.36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1</v>
      </c>
      <c r="BI80">
        <v>1</v>
      </c>
      <c r="BJ80">
        <v>0.2</v>
      </c>
      <c r="BK80">
        <v>1</v>
      </c>
      <c r="BL80">
        <v>70.959999999999994</v>
      </c>
      <c r="BM80">
        <v>10.64</v>
      </c>
      <c r="BN80">
        <v>81.599999999999994</v>
      </c>
      <c r="BO80">
        <v>81.599999999999994</v>
      </c>
      <c r="BQ80" t="s">
        <v>215</v>
      </c>
      <c r="BR80" t="s">
        <v>211</v>
      </c>
      <c r="BS80" s="3">
        <v>45950</v>
      </c>
      <c r="BT80" s="4">
        <v>0.3888888888888889</v>
      </c>
      <c r="BU80" t="s">
        <v>323</v>
      </c>
      <c r="BV80" t="s">
        <v>86</v>
      </c>
      <c r="BY80">
        <v>1200</v>
      </c>
      <c r="BZ80" t="s">
        <v>87</v>
      </c>
      <c r="CC80" t="s">
        <v>97</v>
      </c>
      <c r="CD80">
        <v>8000</v>
      </c>
      <c r="CE80" t="s">
        <v>88</v>
      </c>
      <c r="CF80" s="3">
        <v>45951</v>
      </c>
      <c r="CI80">
        <v>1</v>
      </c>
      <c r="CJ80">
        <v>1</v>
      </c>
      <c r="CK80">
        <v>21</v>
      </c>
      <c r="CL80" t="s">
        <v>89</v>
      </c>
    </row>
    <row r="81" spans="1:90" x14ac:dyDescent="0.3">
      <c r="A81" t="s">
        <v>72</v>
      </c>
      <c r="B81" t="s">
        <v>73</v>
      </c>
      <c r="C81" t="s">
        <v>74</v>
      </c>
      <c r="E81" t="str">
        <f>"080011649910"</f>
        <v>080011649910</v>
      </c>
      <c r="F81" s="3">
        <v>45950</v>
      </c>
      <c r="G81">
        <v>202607</v>
      </c>
      <c r="H81" t="s">
        <v>79</v>
      </c>
      <c r="I81" t="s">
        <v>80</v>
      </c>
      <c r="J81" t="s">
        <v>424</v>
      </c>
      <c r="K81" t="s">
        <v>78</v>
      </c>
      <c r="L81" t="s">
        <v>96</v>
      </c>
      <c r="M81" t="s">
        <v>97</v>
      </c>
      <c r="N81" t="s">
        <v>143</v>
      </c>
      <c r="O81" t="s">
        <v>101</v>
      </c>
      <c r="P81" t="str">
        <f>"-                             "</f>
        <v xml:space="preserve">-                             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>
        <v>0</v>
      </c>
      <c r="AF81">
        <v>0</v>
      </c>
      <c r="AG81">
        <v>5.87</v>
      </c>
      <c r="AH81">
        <v>0</v>
      </c>
      <c r="AI81">
        <v>0</v>
      </c>
      <c r="AJ81">
        <v>0</v>
      </c>
      <c r="AK81">
        <v>0</v>
      </c>
      <c r="AL81">
        <v>0</v>
      </c>
      <c r="AM81">
        <v>0</v>
      </c>
      <c r="AN81">
        <v>0</v>
      </c>
      <c r="AO81">
        <v>0</v>
      </c>
      <c r="AP81">
        <v>0</v>
      </c>
      <c r="AQ81">
        <v>45.02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2</v>
      </c>
      <c r="BI81">
        <v>11.5</v>
      </c>
      <c r="BJ81">
        <v>15.2</v>
      </c>
      <c r="BK81">
        <v>16</v>
      </c>
      <c r="BL81">
        <v>148.75</v>
      </c>
      <c r="BM81">
        <v>22.31</v>
      </c>
      <c r="BN81">
        <v>171.06</v>
      </c>
      <c r="BO81">
        <v>171.06</v>
      </c>
      <c r="BQ81" t="s">
        <v>199</v>
      </c>
      <c r="BR81" t="s">
        <v>425</v>
      </c>
      <c r="BS81" s="3">
        <v>45952</v>
      </c>
      <c r="BT81" s="4">
        <v>0.6645833333333333</v>
      </c>
      <c r="BU81" t="s">
        <v>426</v>
      </c>
      <c r="BV81" t="s">
        <v>86</v>
      </c>
      <c r="BY81">
        <v>75971.399999999994</v>
      </c>
      <c r="BZ81" t="s">
        <v>105</v>
      </c>
      <c r="CA81" t="s">
        <v>202</v>
      </c>
      <c r="CC81" t="s">
        <v>97</v>
      </c>
      <c r="CD81">
        <v>7824</v>
      </c>
      <c r="CE81" t="s">
        <v>88</v>
      </c>
      <c r="CF81" s="3">
        <v>45953</v>
      </c>
      <c r="CI81">
        <v>3</v>
      </c>
      <c r="CJ81">
        <v>2</v>
      </c>
      <c r="CK81">
        <v>41</v>
      </c>
      <c r="CL81" t="s">
        <v>89</v>
      </c>
    </row>
    <row r="82" spans="1:90" x14ac:dyDescent="0.3">
      <c r="A82" t="s">
        <v>72</v>
      </c>
      <c r="B82" t="s">
        <v>73</v>
      </c>
      <c r="C82" t="s">
        <v>74</v>
      </c>
      <c r="E82" t="str">
        <f>"009944622551"</f>
        <v>009944622551</v>
      </c>
      <c r="F82" s="3">
        <v>45950</v>
      </c>
      <c r="G82">
        <v>202607</v>
      </c>
      <c r="H82" t="s">
        <v>75</v>
      </c>
      <c r="I82" t="s">
        <v>76</v>
      </c>
      <c r="J82" t="s">
        <v>427</v>
      </c>
      <c r="K82" t="s">
        <v>78</v>
      </c>
      <c r="L82" t="s">
        <v>79</v>
      </c>
      <c r="M82" t="s">
        <v>80</v>
      </c>
      <c r="N82" t="s">
        <v>428</v>
      </c>
      <c r="O82" t="s">
        <v>82</v>
      </c>
      <c r="P82" t="str">
        <f>"                              "</f>
        <v xml:space="preserve">                              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0</v>
      </c>
      <c r="AE82">
        <v>0</v>
      </c>
      <c r="AF82">
        <v>0</v>
      </c>
      <c r="AG82">
        <v>0</v>
      </c>
      <c r="AH82">
        <v>0</v>
      </c>
      <c r="AI82">
        <v>0</v>
      </c>
      <c r="AJ82">
        <v>0</v>
      </c>
      <c r="AK82">
        <v>0</v>
      </c>
      <c r="AL82">
        <v>0</v>
      </c>
      <c r="AM82">
        <v>0</v>
      </c>
      <c r="AN82">
        <v>0</v>
      </c>
      <c r="AO82">
        <v>0</v>
      </c>
      <c r="AP82">
        <v>0</v>
      </c>
      <c r="AQ82">
        <v>22.36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1</v>
      </c>
      <c r="BI82">
        <v>1</v>
      </c>
      <c r="BJ82">
        <v>0.2</v>
      </c>
      <c r="BK82">
        <v>1</v>
      </c>
      <c r="BL82">
        <v>70.959999999999994</v>
      </c>
      <c r="BM82">
        <v>10.64</v>
      </c>
      <c r="BN82">
        <v>81.599999999999994</v>
      </c>
      <c r="BO82">
        <v>81.599999999999994</v>
      </c>
      <c r="BQ82" t="s">
        <v>429</v>
      </c>
      <c r="BR82" t="s">
        <v>430</v>
      </c>
      <c r="BS82" s="3">
        <v>45951</v>
      </c>
      <c r="BT82" s="4">
        <v>0.41875000000000001</v>
      </c>
      <c r="BU82" t="s">
        <v>120</v>
      </c>
      <c r="BV82" t="s">
        <v>86</v>
      </c>
      <c r="BY82">
        <v>1200</v>
      </c>
      <c r="BZ82" t="s">
        <v>87</v>
      </c>
      <c r="CA82" t="s">
        <v>121</v>
      </c>
      <c r="CC82" t="s">
        <v>80</v>
      </c>
      <c r="CD82">
        <v>2021</v>
      </c>
      <c r="CE82" t="s">
        <v>88</v>
      </c>
      <c r="CF82" s="3">
        <v>45952</v>
      </c>
      <c r="CI82">
        <v>1</v>
      </c>
      <c r="CJ82">
        <v>1</v>
      </c>
      <c r="CK82">
        <v>21</v>
      </c>
      <c r="CL82" t="s">
        <v>89</v>
      </c>
    </row>
    <row r="83" spans="1:90" x14ac:dyDescent="0.3">
      <c r="A83" t="s">
        <v>72</v>
      </c>
      <c r="B83" t="s">
        <v>73</v>
      </c>
      <c r="C83" t="s">
        <v>74</v>
      </c>
      <c r="E83" t="str">
        <f>"009944622550"</f>
        <v>009944622550</v>
      </c>
      <c r="F83" s="3">
        <v>45950</v>
      </c>
      <c r="G83">
        <v>202607</v>
      </c>
      <c r="H83" t="s">
        <v>75</v>
      </c>
      <c r="I83" t="s">
        <v>76</v>
      </c>
      <c r="J83" t="s">
        <v>77</v>
      </c>
      <c r="K83" t="s">
        <v>78</v>
      </c>
      <c r="L83" t="s">
        <v>79</v>
      </c>
      <c r="M83" t="s">
        <v>80</v>
      </c>
      <c r="N83" t="s">
        <v>431</v>
      </c>
      <c r="O83" t="s">
        <v>82</v>
      </c>
      <c r="P83" t="str">
        <f>"                              "</f>
        <v xml:space="preserve">                              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22.36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1</v>
      </c>
      <c r="BI83">
        <v>1</v>
      </c>
      <c r="BJ83">
        <v>0.2</v>
      </c>
      <c r="BK83">
        <v>1</v>
      </c>
      <c r="BL83">
        <v>70.959999999999994</v>
      </c>
      <c r="BM83">
        <v>10.64</v>
      </c>
      <c r="BN83">
        <v>81.599999999999994</v>
      </c>
      <c r="BO83">
        <v>81.599999999999994</v>
      </c>
      <c r="BQ83" t="s">
        <v>432</v>
      </c>
      <c r="BR83" t="s">
        <v>185</v>
      </c>
      <c r="BS83" s="3">
        <v>45951</v>
      </c>
      <c r="BT83" s="4">
        <v>0.41875000000000001</v>
      </c>
      <c r="BU83" t="s">
        <v>120</v>
      </c>
      <c r="BV83" t="s">
        <v>86</v>
      </c>
      <c r="BY83">
        <v>1200</v>
      </c>
      <c r="BZ83" t="s">
        <v>87</v>
      </c>
      <c r="CA83" t="s">
        <v>121</v>
      </c>
      <c r="CC83" t="s">
        <v>80</v>
      </c>
      <c r="CD83">
        <v>2021</v>
      </c>
      <c r="CE83" t="s">
        <v>88</v>
      </c>
      <c r="CF83" s="3">
        <v>45952</v>
      </c>
      <c r="CI83">
        <v>1</v>
      </c>
      <c r="CJ83">
        <v>1</v>
      </c>
      <c r="CK83">
        <v>21</v>
      </c>
      <c r="CL83" t="s">
        <v>89</v>
      </c>
    </row>
    <row r="84" spans="1:90" x14ac:dyDescent="0.3">
      <c r="A84" t="s">
        <v>72</v>
      </c>
      <c r="B84" t="s">
        <v>73</v>
      </c>
      <c r="C84" t="s">
        <v>74</v>
      </c>
      <c r="E84" t="str">
        <f>"009944505573"</f>
        <v>009944505573</v>
      </c>
      <c r="F84" s="3">
        <v>45950</v>
      </c>
      <c r="G84">
        <v>202607</v>
      </c>
      <c r="H84" t="s">
        <v>79</v>
      </c>
      <c r="I84" t="s">
        <v>80</v>
      </c>
      <c r="J84" t="s">
        <v>90</v>
      </c>
      <c r="K84" t="s">
        <v>78</v>
      </c>
      <c r="L84" t="s">
        <v>96</v>
      </c>
      <c r="M84" t="s">
        <v>97</v>
      </c>
      <c r="N84" t="s">
        <v>214</v>
      </c>
      <c r="O84" t="s">
        <v>101</v>
      </c>
      <c r="P84" t="str">
        <f>"11005000BT 460040             "</f>
        <v xml:space="preserve">11005000BT 460040             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0</v>
      </c>
      <c r="Z84">
        <v>0</v>
      </c>
      <c r="AA84">
        <v>0</v>
      </c>
      <c r="AB84">
        <v>0</v>
      </c>
      <c r="AC84">
        <v>0</v>
      </c>
      <c r="AD84">
        <v>0</v>
      </c>
      <c r="AE84">
        <v>0</v>
      </c>
      <c r="AF84">
        <v>0</v>
      </c>
      <c r="AG84">
        <v>5.87</v>
      </c>
      <c r="AH84">
        <v>0</v>
      </c>
      <c r="AI84">
        <v>0</v>
      </c>
      <c r="AJ84">
        <v>0</v>
      </c>
      <c r="AK84">
        <v>0</v>
      </c>
      <c r="AL84">
        <v>0</v>
      </c>
      <c r="AM84">
        <v>0</v>
      </c>
      <c r="AN84">
        <v>0</v>
      </c>
      <c r="AO84">
        <v>0</v>
      </c>
      <c r="AP84">
        <v>0</v>
      </c>
      <c r="AQ84">
        <v>75.36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3</v>
      </c>
      <c r="BI84">
        <v>20</v>
      </c>
      <c r="BJ84">
        <v>33</v>
      </c>
      <c r="BK84">
        <v>33</v>
      </c>
      <c r="BL84">
        <v>245.05</v>
      </c>
      <c r="BM84">
        <v>36.76</v>
      </c>
      <c r="BN84">
        <v>281.81</v>
      </c>
      <c r="BO84">
        <v>281.81</v>
      </c>
      <c r="BQ84" t="s">
        <v>433</v>
      </c>
      <c r="BR84" t="s">
        <v>434</v>
      </c>
      <c r="BS84" s="3">
        <v>45952</v>
      </c>
      <c r="BT84" s="4">
        <v>0.41666666666666669</v>
      </c>
      <c r="BU84" t="s">
        <v>435</v>
      </c>
      <c r="BV84" t="s">
        <v>86</v>
      </c>
      <c r="BY84">
        <v>164951.26999999999</v>
      </c>
      <c r="BZ84" t="s">
        <v>105</v>
      </c>
      <c r="CC84" t="s">
        <v>97</v>
      </c>
      <c r="CD84">
        <v>8001</v>
      </c>
      <c r="CE84" t="s">
        <v>88</v>
      </c>
      <c r="CF84" s="3">
        <v>45953</v>
      </c>
      <c r="CI84">
        <v>3</v>
      </c>
      <c r="CJ84">
        <v>2</v>
      </c>
      <c r="CK84">
        <v>41</v>
      </c>
      <c r="CL84" t="s">
        <v>89</v>
      </c>
    </row>
    <row r="85" spans="1:90" x14ac:dyDescent="0.3">
      <c r="A85" t="s">
        <v>72</v>
      </c>
      <c r="B85" t="s">
        <v>73</v>
      </c>
      <c r="C85" t="s">
        <v>74</v>
      </c>
      <c r="E85" t="str">
        <f>"009943425370"</f>
        <v>009943425370</v>
      </c>
      <c r="F85" s="3">
        <v>45950</v>
      </c>
      <c r="G85">
        <v>202607</v>
      </c>
      <c r="H85" t="s">
        <v>79</v>
      </c>
      <c r="I85" t="s">
        <v>80</v>
      </c>
      <c r="J85" t="s">
        <v>90</v>
      </c>
      <c r="K85" t="s">
        <v>78</v>
      </c>
      <c r="L85" t="s">
        <v>75</v>
      </c>
      <c r="M85" t="s">
        <v>76</v>
      </c>
      <c r="N85" t="s">
        <v>436</v>
      </c>
      <c r="O85" t="s">
        <v>82</v>
      </c>
      <c r="P85" t="str">
        <f>"11116561PC 402190             "</f>
        <v xml:space="preserve">11116561PC 402190             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22.36</v>
      </c>
      <c r="AR85">
        <v>0</v>
      </c>
      <c r="AS85">
        <v>0</v>
      </c>
      <c r="AT85">
        <v>0</v>
      </c>
      <c r="AU85">
        <v>0</v>
      </c>
      <c r="AV85">
        <v>0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1</v>
      </c>
      <c r="BI85">
        <v>1.5</v>
      </c>
      <c r="BJ85">
        <v>1.4</v>
      </c>
      <c r="BK85">
        <v>1.5</v>
      </c>
      <c r="BL85">
        <v>70.959999999999994</v>
      </c>
      <c r="BM85">
        <v>10.64</v>
      </c>
      <c r="BN85">
        <v>81.599999999999994</v>
      </c>
      <c r="BO85">
        <v>81.599999999999994</v>
      </c>
      <c r="BQ85" t="s">
        <v>437</v>
      </c>
      <c r="BR85" t="s">
        <v>93</v>
      </c>
      <c r="BS85" s="3">
        <v>45951</v>
      </c>
      <c r="BT85" s="4">
        <v>0.41736111111111113</v>
      </c>
      <c r="BU85" t="s">
        <v>438</v>
      </c>
      <c r="BV85" t="s">
        <v>86</v>
      </c>
      <c r="BY85">
        <v>6769.4</v>
      </c>
      <c r="BZ85" t="s">
        <v>87</v>
      </c>
      <c r="CA85" t="s">
        <v>439</v>
      </c>
      <c r="CC85" t="s">
        <v>76</v>
      </c>
      <c r="CD85">
        <v>4001</v>
      </c>
      <c r="CE85" t="s">
        <v>88</v>
      </c>
      <c r="CF85" s="3">
        <v>45952</v>
      </c>
      <c r="CI85">
        <v>1</v>
      </c>
      <c r="CJ85">
        <v>1</v>
      </c>
      <c r="CK85">
        <v>21</v>
      </c>
      <c r="CL85" t="s">
        <v>89</v>
      </c>
    </row>
    <row r="86" spans="1:90" x14ac:dyDescent="0.3">
      <c r="A86" t="s">
        <v>72</v>
      </c>
      <c r="B86" t="s">
        <v>73</v>
      </c>
      <c r="C86" t="s">
        <v>74</v>
      </c>
      <c r="E86" t="str">
        <f>"009945160151"</f>
        <v>009945160151</v>
      </c>
      <c r="F86" s="3">
        <v>45950</v>
      </c>
      <c r="G86">
        <v>202607</v>
      </c>
      <c r="H86" t="s">
        <v>79</v>
      </c>
      <c r="I86" t="s">
        <v>80</v>
      </c>
      <c r="J86" t="s">
        <v>90</v>
      </c>
      <c r="K86" t="s">
        <v>78</v>
      </c>
      <c r="L86" t="s">
        <v>187</v>
      </c>
      <c r="M86" t="s">
        <v>188</v>
      </c>
      <c r="N86" t="s">
        <v>189</v>
      </c>
      <c r="O86" t="s">
        <v>101</v>
      </c>
      <c r="P86" t="str">
        <f>"11005000BT 402190             "</f>
        <v xml:space="preserve">11005000BT 402190             </v>
      </c>
      <c r="Q86">
        <v>0</v>
      </c>
      <c r="R86">
        <v>0</v>
      </c>
      <c r="S86">
        <v>0</v>
      </c>
      <c r="T86">
        <v>0</v>
      </c>
      <c r="U86">
        <v>0</v>
      </c>
      <c r="V86">
        <v>0</v>
      </c>
      <c r="W86">
        <v>0</v>
      </c>
      <c r="X86">
        <v>0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0</v>
      </c>
      <c r="AG86">
        <v>5.87</v>
      </c>
      <c r="AH86">
        <v>0</v>
      </c>
      <c r="AI86">
        <v>0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0</v>
      </c>
      <c r="AQ86">
        <v>43.23</v>
      </c>
      <c r="AR86">
        <v>0</v>
      </c>
      <c r="AS86">
        <v>0</v>
      </c>
      <c r="AT86">
        <v>0</v>
      </c>
      <c r="AU86">
        <v>0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1</v>
      </c>
      <c r="BI86">
        <v>1</v>
      </c>
      <c r="BJ86">
        <v>0.2</v>
      </c>
      <c r="BK86">
        <v>1</v>
      </c>
      <c r="BL86">
        <v>143.08000000000001</v>
      </c>
      <c r="BM86">
        <v>21.46</v>
      </c>
      <c r="BN86">
        <v>164.54</v>
      </c>
      <c r="BO86">
        <v>164.54</v>
      </c>
      <c r="BQ86" t="s">
        <v>440</v>
      </c>
      <c r="BR86" t="s">
        <v>191</v>
      </c>
      <c r="BS86" s="3">
        <v>45951</v>
      </c>
      <c r="BT86" s="4">
        <v>0.69166666666666665</v>
      </c>
      <c r="BU86" t="s">
        <v>441</v>
      </c>
      <c r="BV86" t="s">
        <v>86</v>
      </c>
      <c r="BY86">
        <v>816</v>
      </c>
      <c r="BZ86" t="s">
        <v>105</v>
      </c>
      <c r="CC86" t="s">
        <v>188</v>
      </c>
      <c r="CD86">
        <v>3610</v>
      </c>
      <c r="CE86" t="s">
        <v>88</v>
      </c>
      <c r="CF86" s="3">
        <v>45951</v>
      </c>
      <c r="CI86">
        <v>1</v>
      </c>
      <c r="CJ86">
        <v>1</v>
      </c>
      <c r="CK86">
        <v>41</v>
      </c>
      <c r="CL86" t="s">
        <v>89</v>
      </c>
    </row>
    <row r="87" spans="1:90" x14ac:dyDescent="0.3">
      <c r="A87" t="s">
        <v>72</v>
      </c>
      <c r="B87" t="s">
        <v>73</v>
      </c>
      <c r="C87" t="s">
        <v>74</v>
      </c>
      <c r="E87" t="str">
        <f>"009944622549"</f>
        <v>009944622549</v>
      </c>
      <c r="F87" s="3">
        <v>45951</v>
      </c>
      <c r="G87">
        <v>202607</v>
      </c>
      <c r="H87" t="s">
        <v>75</v>
      </c>
      <c r="I87" t="s">
        <v>76</v>
      </c>
      <c r="J87" t="s">
        <v>293</v>
      </c>
      <c r="K87" t="s">
        <v>78</v>
      </c>
      <c r="L87" t="s">
        <v>96</v>
      </c>
      <c r="M87" t="s">
        <v>97</v>
      </c>
      <c r="N87" t="s">
        <v>442</v>
      </c>
      <c r="O87" t="s">
        <v>375</v>
      </c>
      <c r="P87" t="str">
        <f>"                              "</f>
        <v xml:space="preserve">                              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F87">
        <v>0</v>
      </c>
      <c r="AG87">
        <v>0</v>
      </c>
      <c r="AH87">
        <v>0</v>
      </c>
      <c r="AI87">
        <v>0</v>
      </c>
      <c r="AJ87">
        <v>0</v>
      </c>
      <c r="AK87">
        <v>507.86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261.56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1</v>
      </c>
      <c r="BI87">
        <v>1</v>
      </c>
      <c r="BJ87">
        <v>2.5</v>
      </c>
      <c r="BK87">
        <v>2.5</v>
      </c>
      <c r="BL87">
        <v>830.16</v>
      </c>
      <c r="BM87">
        <v>124.52</v>
      </c>
      <c r="BN87">
        <v>954.68</v>
      </c>
      <c r="BO87">
        <v>954.68</v>
      </c>
      <c r="BP87" t="s">
        <v>443</v>
      </c>
      <c r="BQ87" s="5" t="s">
        <v>444</v>
      </c>
      <c r="BR87" t="s">
        <v>445</v>
      </c>
      <c r="BS87" s="3">
        <v>45951</v>
      </c>
      <c r="BT87" s="4">
        <v>0.65972222222222221</v>
      </c>
      <c r="BU87" t="s">
        <v>446</v>
      </c>
      <c r="BV87" t="s">
        <v>86</v>
      </c>
      <c r="BY87">
        <v>12544</v>
      </c>
      <c r="BZ87" t="s">
        <v>447</v>
      </c>
      <c r="CC87" t="s">
        <v>97</v>
      </c>
      <c r="CD87">
        <v>7530</v>
      </c>
      <c r="CE87" t="s">
        <v>88</v>
      </c>
      <c r="CF87" s="3">
        <v>45952</v>
      </c>
      <c r="CI87">
        <v>0</v>
      </c>
      <c r="CJ87">
        <v>0</v>
      </c>
      <c r="CK87">
        <v>21</v>
      </c>
      <c r="CL87" t="s">
        <v>89</v>
      </c>
    </row>
    <row r="88" spans="1:90" x14ac:dyDescent="0.3">
      <c r="A88" t="s">
        <v>72</v>
      </c>
      <c r="B88" t="s">
        <v>73</v>
      </c>
      <c r="C88" t="s">
        <v>74</v>
      </c>
      <c r="E88" t="str">
        <f>"080011654170"</f>
        <v>080011654170</v>
      </c>
      <c r="F88" s="3">
        <v>45951</v>
      </c>
      <c r="G88">
        <v>202607</v>
      </c>
      <c r="H88" t="s">
        <v>126</v>
      </c>
      <c r="I88" t="s">
        <v>127</v>
      </c>
      <c r="J88" t="s">
        <v>246</v>
      </c>
      <c r="K88" t="s">
        <v>78</v>
      </c>
      <c r="L88" t="s">
        <v>155</v>
      </c>
      <c r="M88" t="s">
        <v>156</v>
      </c>
      <c r="N88" t="s">
        <v>324</v>
      </c>
      <c r="O88" t="s">
        <v>82</v>
      </c>
      <c r="P88" t="str">
        <f>"-                             "</f>
        <v xml:space="preserve">-                             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44.69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1</v>
      </c>
      <c r="BI88">
        <v>4</v>
      </c>
      <c r="BJ88">
        <v>0.7</v>
      </c>
      <c r="BK88">
        <v>4</v>
      </c>
      <c r="BL88">
        <v>141.85</v>
      </c>
      <c r="BM88">
        <v>21.28</v>
      </c>
      <c r="BN88">
        <v>163.13</v>
      </c>
      <c r="BO88">
        <v>163.13</v>
      </c>
      <c r="BQ88" t="s">
        <v>448</v>
      </c>
      <c r="BR88" t="s">
        <v>249</v>
      </c>
      <c r="BS88" s="3">
        <v>45952</v>
      </c>
      <c r="BT88" s="4">
        <v>0.39791666666666664</v>
      </c>
      <c r="BU88" t="s">
        <v>449</v>
      </c>
      <c r="BV88" t="s">
        <v>86</v>
      </c>
      <c r="BY88">
        <v>3600</v>
      </c>
      <c r="BZ88" t="s">
        <v>87</v>
      </c>
      <c r="CA88" t="s">
        <v>159</v>
      </c>
      <c r="CC88" t="s">
        <v>156</v>
      </c>
      <c r="CD88">
        <v>1683</v>
      </c>
      <c r="CE88" t="s">
        <v>88</v>
      </c>
      <c r="CF88" s="3">
        <v>45953</v>
      </c>
      <c r="CI88">
        <v>1</v>
      </c>
      <c r="CJ88">
        <v>1</v>
      </c>
      <c r="CK88">
        <v>21</v>
      </c>
      <c r="CL88" t="s">
        <v>89</v>
      </c>
    </row>
    <row r="89" spans="1:90" x14ac:dyDescent="0.3">
      <c r="A89" t="s">
        <v>72</v>
      </c>
      <c r="B89" t="s">
        <v>73</v>
      </c>
      <c r="C89" t="s">
        <v>74</v>
      </c>
      <c r="E89" t="str">
        <f>"080011654644"</f>
        <v>080011654644</v>
      </c>
      <c r="F89" s="3">
        <v>45951</v>
      </c>
      <c r="G89">
        <v>202607</v>
      </c>
      <c r="H89" t="s">
        <v>96</v>
      </c>
      <c r="I89" t="s">
        <v>97</v>
      </c>
      <c r="J89" t="s">
        <v>116</v>
      </c>
      <c r="K89" t="s">
        <v>78</v>
      </c>
      <c r="L89" t="s">
        <v>79</v>
      </c>
      <c r="M89" t="s">
        <v>80</v>
      </c>
      <c r="N89" t="s">
        <v>117</v>
      </c>
      <c r="O89" t="s">
        <v>101</v>
      </c>
      <c r="P89" t="str">
        <f>"-                             "</f>
        <v xml:space="preserve">-                             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5.87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43.23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1</v>
      </c>
      <c r="BI89">
        <v>1</v>
      </c>
      <c r="BJ89">
        <v>0.2</v>
      </c>
      <c r="BK89">
        <v>1</v>
      </c>
      <c r="BL89">
        <v>143.08000000000001</v>
      </c>
      <c r="BM89">
        <v>21.46</v>
      </c>
      <c r="BN89">
        <v>164.54</v>
      </c>
      <c r="BO89">
        <v>164.54</v>
      </c>
      <c r="BQ89" t="s">
        <v>450</v>
      </c>
      <c r="BR89" t="s">
        <v>451</v>
      </c>
      <c r="BS89" s="3">
        <v>45953</v>
      </c>
      <c r="BT89" s="4">
        <v>0.42777777777777776</v>
      </c>
      <c r="BU89" t="s">
        <v>85</v>
      </c>
      <c r="BV89" t="s">
        <v>86</v>
      </c>
      <c r="BY89">
        <v>1200</v>
      </c>
      <c r="BZ89" t="s">
        <v>105</v>
      </c>
      <c r="CA89" t="s">
        <v>121</v>
      </c>
      <c r="CC89" t="s">
        <v>80</v>
      </c>
      <c r="CD89">
        <v>2021</v>
      </c>
      <c r="CE89" t="s">
        <v>88</v>
      </c>
      <c r="CF89" s="3">
        <v>45954</v>
      </c>
      <c r="CI89">
        <v>3</v>
      </c>
      <c r="CJ89">
        <v>2</v>
      </c>
      <c r="CK89">
        <v>41</v>
      </c>
      <c r="CL89" t="s">
        <v>89</v>
      </c>
    </row>
    <row r="90" spans="1:90" x14ac:dyDescent="0.3">
      <c r="A90" t="s">
        <v>72</v>
      </c>
      <c r="B90" t="s">
        <v>73</v>
      </c>
      <c r="C90" t="s">
        <v>74</v>
      </c>
      <c r="E90" t="str">
        <f>"009943425369"</f>
        <v>009943425369</v>
      </c>
      <c r="F90" s="3">
        <v>45951</v>
      </c>
      <c r="G90">
        <v>202607</v>
      </c>
      <c r="H90" t="s">
        <v>79</v>
      </c>
      <c r="I90" t="s">
        <v>80</v>
      </c>
      <c r="J90" t="s">
        <v>90</v>
      </c>
      <c r="K90" t="s">
        <v>78</v>
      </c>
      <c r="L90" t="s">
        <v>96</v>
      </c>
      <c r="M90" t="s">
        <v>97</v>
      </c>
      <c r="N90" t="s">
        <v>452</v>
      </c>
      <c r="O90" t="s">
        <v>82</v>
      </c>
      <c r="P90" t="str">
        <f>"11112300FS 432090             "</f>
        <v xml:space="preserve">11112300FS 432090             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>
        <v>0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22.36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1</v>
      </c>
      <c r="BI90">
        <v>1</v>
      </c>
      <c r="BJ90">
        <v>0.2</v>
      </c>
      <c r="BK90">
        <v>1</v>
      </c>
      <c r="BL90">
        <v>70.959999999999994</v>
      </c>
      <c r="BM90">
        <v>10.64</v>
      </c>
      <c r="BN90">
        <v>81.599999999999994</v>
      </c>
      <c r="BO90">
        <v>81.599999999999994</v>
      </c>
      <c r="BQ90" t="s">
        <v>453</v>
      </c>
      <c r="BR90" t="s">
        <v>349</v>
      </c>
      <c r="BS90" s="3">
        <v>45952</v>
      </c>
      <c r="BT90" s="4">
        <v>0.48958333333333331</v>
      </c>
      <c r="BU90" t="s">
        <v>454</v>
      </c>
      <c r="BV90" t="s">
        <v>89</v>
      </c>
      <c r="BW90" t="s">
        <v>455</v>
      </c>
      <c r="BX90" t="s">
        <v>254</v>
      </c>
      <c r="BY90">
        <v>1200</v>
      </c>
      <c r="BZ90" t="s">
        <v>87</v>
      </c>
      <c r="CC90" t="s">
        <v>97</v>
      </c>
      <c r="CD90">
        <v>7925</v>
      </c>
      <c r="CE90" t="s">
        <v>88</v>
      </c>
      <c r="CF90" s="3">
        <v>45953</v>
      </c>
      <c r="CI90">
        <v>1</v>
      </c>
      <c r="CJ90">
        <v>1</v>
      </c>
      <c r="CK90">
        <v>21</v>
      </c>
      <c r="CL90" t="s">
        <v>89</v>
      </c>
    </row>
    <row r="91" spans="1:90" x14ac:dyDescent="0.3">
      <c r="A91" t="s">
        <v>72</v>
      </c>
      <c r="B91" t="s">
        <v>73</v>
      </c>
      <c r="C91" t="s">
        <v>74</v>
      </c>
      <c r="E91" t="str">
        <f>"009943054761"</f>
        <v>009943054761</v>
      </c>
      <c r="F91" s="3">
        <v>45951</v>
      </c>
      <c r="G91">
        <v>202607</v>
      </c>
      <c r="H91" t="s">
        <v>79</v>
      </c>
      <c r="I91" t="s">
        <v>80</v>
      </c>
      <c r="J91" t="s">
        <v>90</v>
      </c>
      <c r="K91" t="s">
        <v>78</v>
      </c>
      <c r="L91" t="s">
        <v>75</v>
      </c>
      <c r="M91" t="s">
        <v>76</v>
      </c>
      <c r="N91" t="s">
        <v>276</v>
      </c>
      <c r="O91" t="s">
        <v>82</v>
      </c>
      <c r="P91" t="str">
        <f>"11116561PC 402190             "</f>
        <v xml:space="preserve">11116561PC 402190             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>
        <v>0</v>
      </c>
      <c r="X91">
        <v>0</v>
      </c>
      <c r="Y91">
        <v>0</v>
      </c>
      <c r="Z91">
        <v>0</v>
      </c>
      <c r="AA91">
        <v>0</v>
      </c>
      <c r="AB91">
        <v>0</v>
      </c>
      <c r="AC91">
        <v>0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  <c r="AM91">
        <v>0</v>
      </c>
      <c r="AN91">
        <v>0</v>
      </c>
      <c r="AO91">
        <v>0</v>
      </c>
      <c r="AP91">
        <v>0</v>
      </c>
      <c r="AQ91">
        <v>22.36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1</v>
      </c>
      <c r="BI91">
        <v>1.1000000000000001</v>
      </c>
      <c r="BJ91">
        <v>1.2</v>
      </c>
      <c r="BK91">
        <v>1.5</v>
      </c>
      <c r="BL91">
        <v>70.959999999999994</v>
      </c>
      <c r="BM91">
        <v>10.64</v>
      </c>
      <c r="BN91">
        <v>81.599999999999994</v>
      </c>
      <c r="BO91">
        <v>81.599999999999994</v>
      </c>
      <c r="BQ91" t="s">
        <v>456</v>
      </c>
      <c r="BR91" t="s">
        <v>298</v>
      </c>
      <c r="BS91" s="3">
        <v>45952</v>
      </c>
      <c r="BT91" s="4">
        <v>0.39791666666666664</v>
      </c>
      <c r="BU91" t="s">
        <v>94</v>
      </c>
      <c r="BV91" t="s">
        <v>86</v>
      </c>
      <c r="BY91">
        <v>5756.34</v>
      </c>
      <c r="BZ91" t="s">
        <v>87</v>
      </c>
      <c r="CA91" t="s">
        <v>95</v>
      </c>
      <c r="CC91" t="s">
        <v>76</v>
      </c>
      <c r="CD91">
        <v>4000</v>
      </c>
      <c r="CE91" t="s">
        <v>88</v>
      </c>
      <c r="CF91" s="3">
        <v>45952</v>
      </c>
      <c r="CI91">
        <v>1</v>
      </c>
      <c r="CJ91">
        <v>1</v>
      </c>
      <c r="CK91">
        <v>21</v>
      </c>
      <c r="CL91" t="s">
        <v>89</v>
      </c>
    </row>
    <row r="92" spans="1:90" x14ac:dyDescent="0.3">
      <c r="A92" t="s">
        <v>72</v>
      </c>
      <c r="B92" t="s">
        <v>73</v>
      </c>
      <c r="C92" t="s">
        <v>74</v>
      </c>
      <c r="E92" t="str">
        <f>"009944505574"</f>
        <v>009944505574</v>
      </c>
      <c r="F92" s="3">
        <v>45951</v>
      </c>
      <c r="G92">
        <v>202607</v>
      </c>
      <c r="H92" t="s">
        <v>79</v>
      </c>
      <c r="I92" t="s">
        <v>80</v>
      </c>
      <c r="J92" t="s">
        <v>90</v>
      </c>
      <c r="K92" t="s">
        <v>78</v>
      </c>
      <c r="L92" t="s">
        <v>96</v>
      </c>
      <c r="M92" t="s">
        <v>97</v>
      </c>
      <c r="N92" t="s">
        <v>457</v>
      </c>
      <c r="O92" t="s">
        <v>101</v>
      </c>
      <c r="P92" t="str">
        <f>"1105000BT 460040              "</f>
        <v xml:space="preserve">1105000BT 460040              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5.87</v>
      </c>
      <c r="AH92">
        <v>0</v>
      </c>
      <c r="AI92">
        <v>0</v>
      </c>
      <c r="AJ92">
        <v>0</v>
      </c>
      <c r="AK92">
        <v>0</v>
      </c>
      <c r="AL92">
        <v>0</v>
      </c>
      <c r="AM92">
        <v>0</v>
      </c>
      <c r="AN92">
        <v>0</v>
      </c>
      <c r="AO92">
        <v>0</v>
      </c>
      <c r="AP92">
        <v>0</v>
      </c>
      <c r="AQ92">
        <v>43.23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1</v>
      </c>
      <c r="BI92">
        <v>1</v>
      </c>
      <c r="BJ92">
        <v>0.2</v>
      </c>
      <c r="BK92">
        <v>1</v>
      </c>
      <c r="BL92">
        <v>143.08000000000001</v>
      </c>
      <c r="BM92">
        <v>21.46</v>
      </c>
      <c r="BN92">
        <v>164.54</v>
      </c>
      <c r="BO92">
        <v>164.54</v>
      </c>
      <c r="BQ92" t="s">
        <v>458</v>
      </c>
      <c r="BR92" t="s">
        <v>459</v>
      </c>
      <c r="BS92" s="3">
        <v>45953</v>
      </c>
      <c r="BT92" s="4">
        <v>0.41666666666666669</v>
      </c>
      <c r="BU92" t="s">
        <v>460</v>
      </c>
      <c r="BV92" t="s">
        <v>86</v>
      </c>
      <c r="BY92">
        <v>1200</v>
      </c>
      <c r="BZ92" t="s">
        <v>105</v>
      </c>
      <c r="CC92" t="s">
        <v>97</v>
      </c>
      <c r="CD92">
        <v>8001</v>
      </c>
      <c r="CE92" t="s">
        <v>88</v>
      </c>
      <c r="CF92" s="3">
        <v>45954</v>
      </c>
      <c r="CI92">
        <v>3</v>
      </c>
      <c r="CJ92">
        <v>2</v>
      </c>
      <c r="CK92">
        <v>41</v>
      </c>
      <c r="CL92" t="s">
        <v>89</v>
      </c>
    </row>
    <row r="93" spans="1:90" x14ac:dyDescent="0.3">
      <c r="A93" t="s">
        <v>72</v>
      </c>
      <c r="B93" t="s">
        <v>73</v>
      </c>
      <c r="C93" t="s">
        <v>74</v>
      </c>
      <c r="E93" t="str">
        <f>"080011653839"</f>
        <v>080011653839</v>
      </c>
      <c r="F93" s="3">
        <v>45952</v>
      </c>
      <c r="G93">
        <v>202607</v>
      </c>
      <c r="H93" t="s">
        <v>96</v>
      </c>
      <c r="I93" t="s">
        <v>97</v>
      </c>
      <c r="J93" t="s">
        <v>442</v>
      </c>
      <c r="K93" t="s">
        <v>78</v>
      </c>
      <c r="L93" t="s">
        <v>75</v>
      </c>
      <c r="M93" t="s">
        <v>76</v>
      </c>
      <c r="N93" t="s">
        <v>461</v>
      </c>
      <c r="O93" t="s">
        <v>82</v>
      </c>
      <c r="P93" t="str">
        <f>"Cooler boxes                  "</f>
        <v xml:space="preserve">Cooler boxes                  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0</v>
      </c>
      <c r="AE93">
        <v>0</v>
      </c>
      <c r="AF93">
        <v>0</v>
      </c>
      <c r="AG93">
        <v>0</v>
      </c>
      <c r="AH93">
        <v>0</v>
      </c>
      <c r="AI93">
        <v>0</v>
      </c>
      <c r="AJ93">
        <v>0</v>
      </c>
      <c r="AK93">
        <v>0</v>
      </c>
      <c r="AL93">
        <v>0</v>
      </c>
      <c r="AM93">
        <v>0</v>
      </c>
      <c r="AN93">
        <v>0</v>
      </c>
      <c r="AO93">
        <v>0</v>
      </c>
      <c r="AP93">
        <v>0</v>
      </c>
      <c r="AQ93">
        <v>50.28</v>
      </c>
      <c r="AR93">
        <v>0</v>
      </c>
      <c r="AS93">
        <v>0</v>
      </c>
      <c r="AT93">
        <v>0</v>
      </c>
      <c r="AU93">
        <v>0</v>
      </c>
      <c r="AV93">
        <v>0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1</v>
      </c>
      <c r="BI93">
        <v>0.3</v>
      </c>
      <c r="BJ93">
        <v>4.5</v>
      </c>
      <c r="BK93">
        <v>4.5</v>
      </c>
      <c r="BL93">
        <v>159.58000000000001</v>
      </c>
      <c r="BM93">
        <v>23.94</v>
      </c>
      <c r="BN93">
        <v>183.52</v>
      </c>
      <c r="BO93">
        <v>183.52</v>
      </c>
      <c r="BQ93" t="s">
        <v>462</v>
      </c>
      <c r="BR93" t="s">
        <v>463</v>
      </c>
      <c r="BS93" s="3">
        <v>45954</v>
      </c>
      <c r="BT93" s="4">
        <v>0.41666666666666669</v>
      </c>
      <c r="BU93" t="s">
        <v>464</v>
      </c>
      <c r="BV93" t="s">
        <v>86</v>
      </c>
      <c r="BY93">
        <v>22460.85</v>
      </c>
      <c r="BZ93" t="s">
        <v>87</v>
      </c>
      <c r="CA93" t="s">
        <v>465</v>
      </c>
      <c r="CC93" t="s">
        <v>76</v>
      </c>
      <c r="CD93">
        <v>4001</v>
      </c>
      <c r="CE93" t="s">
        <v>88</v>
      </c>
      <c r="CF93" s="3">
        <v>45954</v>
      </c>
      <c r="CI93">
        <v>2</v>
      </c>
      <c r="CJ93">
        <v>2</v>
      </c>
      <c r="CK93">
        <v>21</v>
      </c>
      <c r="CL93" t="s">
        <v>89</v>
      </c>
    </row>
    <row r="94" spans="1:90" x14ac:dyDescent="0.3">
      <c r="A94" t="s">
        <v>72</v>
      </c>
      <c r="B94" t="s">
        <v>73</v>
      </c>
      <c r="C94" t="s">
        <v>74</v>
      </c>
      <c r="E94" t="str">
        <f>"009943425368"</f>
        <v>009943425368</v>
      </c>
      <c r="F94" s="3">
        <v>45952</v>
      </c>
      <c r="G94">
        <v>202607</v>
      </c>
      <c r="H94" t="s">
        <v>79</v>
      </c>
      <c r="I94" t="s">
        <v>80</v>
      </c>
      <c r="J94" t="s">
        <v>90</v>
      </c>
      <c r="K94" t="s">
        <v>78</v>
      </c>
      <c r="L94" t="s">
        <v>79</v>
      </c>
      <c r="M94" t="s">
        <v>80</v>
      </c>
      <c r="N94" t="s">
        <v>466</v>
      </c>
      <c r="O94" t="s">
        <v>101</v>
      </c>
      <c r="P94" t="str">
        <f>"11115500HR 432090             "</f>
        <v xml:space="preserve">11115500HR 432090             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0</v>
      </c>
      <c r="AE94">
        <v>0</v>
      </c>
      <c r="AF94">
        <v>0</v>
      </c>
      <c r="AG94">
        <v>5.87</v>
      </c>
      <c r="AH94">
        <v>0</v>
      </c>
      <c r="AI94">
        <v>0</v>
      </c>
      <c r="AJ94">
        <v>0</v>
      </c>
      <c r="AK94">
        <v>0</v>
      </c>
      <c r="AL94">
        <v>0</v>
      </c>
      <c r="AM94">
        <v>0</v>
      </c>
      <c r="AN94">
        <v>0</v>
      </c>
      <c r="AO94">
        <v>0</v>
      </c>
      <c r="AP94">
        <v>0</v>
      </c>
      <c r="AQ94">
        <v>43.23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16.739999999999998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1</v>
      </c>
      <c r="BI94">
        <v>7.6</v>
      </c>
      <c r="BJ94">
        <v>7.9</v>
      </c>
      <c r="BK94">
        <v>8</v>
      </c>
      <c r="BL94">
        <v>159.82</v>
      </c>
      <c r="BM94">
        <v>23.97</v>
      </c>
      <c r="BN94">
        <v>183.79</v>
      </c>
      <c r="BO94">
        <v>183.79</v>
      </c>
      <c r="BQ94" t="s">
        <v>467</v>
      </c>
      <c r="BR94" t="s">
        <v>468</v>
      </c>
      <c r="BS94" s="3">
        <v>45953</v>
      </c>
      <c r="BT94" s="4">
        <v>0.5</v>
      </c>
      <c r="BU94" t="s">
        <v>469</v>
      </c>
      <c r="BV94" t="s">
        <v>86</v>
      </c>
      <c r="BY94">
        <v>39296.400000000001</v>
      </c>
      <c r="BZ94" t="s">
        <v>399</v>
      </c>
      <c r="CC94" t="s">
        <v>80</v>
      </c>
      <c r="CD94">
        <v>1803</v>
      </c>
      <c r="CE94" t="s">
        <v>88</v>
      </c>
      <c r="CF94" s="3">
        <v>45954</v>
      </c>
      <c r="CI94">
        <v>0</v>
      </c>
      <c r="CJ94">
        <v>0</v>
      </c>
      <c r="CK94">
        <v>41</v>
      </c>
      <c r="CL94" t="s">
        <v>89</v>
      </c>
    </row>
    <row r="95" spans="1:90" x14ac:dyDescent="0.3">
      <c r="A95" t="s">
        <v>72</v>
      </c>
      <c r="B95" t="s">
        <v>73</v>
      </c>
      <c r="C95" t="s">
        <v>74</v>
      </c>
      <c r="E95" t="str">
        <f>"009942838028"</f>
        <v>009942838028</v>
      </c>
      <c r="F95" s="3">
        <v>45952</v>
      </c>
      <c r="G95">
        <v>202607</v>
      </c>
      <c r="H95" t="s">
        <v>79</v>
      </c>
      <c r="I95" t="s">
        <v>80</v>
      </c>
      <c r="J95" t="s">
        <v>90</v>
      </c>
      <c r="K95" t="s">
        <v>78</v>
      </c>
      <c r="L95" t="s">
        <v>96</v>
      </c>
      <c r="M95" t="s">
        <v>97</v>
      </c>
      <c r="N95" t="s">
        <v>470</v>
      </c>
      <c r="O95" t="s">
        <v>82</v>
      </c>
      <c r="P95" t="str">
        <f>"18352432FS 460040             "</f>
        <v xml:space="preserve">18352432FS 460040             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0</v>
      </c>
      <c r="AA95">
        <v>0</v>
      </c>
      <c r="AB95">
        <v>0</v>
      </c>
      <c r="AC95">
        <v>0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  <c r="AM95">
        <v>0</v>
      </c>
      <c r="AN95">
        <v>0</v>
      </c>
      <c r="AO95">
        <v>0</v>
      </c>
      <c r="AP95">
        <v>0</v>
      </c>
      <c r="AQ95">
        <v>22.36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1</v>
      </c>
      <c r="BI95">
        <v>1</v>
      </c>
      <c r="BJ95">
        <v>0.2</v>
      </c>
      <c r="BK95">
        <v>1</v>
      </c>
      <c r="BL95">
        <v>70.959999999999994</v>
      </c>
      <c r="BM95">
        <v>10.64</v>
      </c>
      <c r="BN95">
        <v>81.599999999999994</v>
      </c>
      <c r="BO95">
        <v>81.599999999999994</v>
      </c>
      <c r="BQ95" t="s">
        <v>471</v>
      </c>
      <c r="BR95" t="s">
        <v>162</v>
      </c>
      <c r="BS95" s="3">
        <v>45953</v>
      </c>
      <c r="BT95" s="4">
        <v>0.52430555555555558</v>
      </c>
      <c r="BU95" t="s">
        <v>472</v>
      </c>
      <c r="BV95" t="s">
        <v>89</v>
      </c>
      <c r="BY95">
        <v>1200</v>
      </c>
      <c r="BZ95" t="s">
        <v>87</v>
      </c>
      <c r="CA95" t="s">
        <v>473</v>
      </c>
      <c r="CC95" t="s">
        <v>97</v>
      </c>
      <c r="CD95">
        <v>8000</v>
      </c>
      <c r="CE95" t="s">
        <v>88</v>
      </c>
      <c r="CI95">
        <v>1</v>
      </c>
      <c r="CJ95">
        <v>1</v>
      </c>
      <c r="CK95">
        <v>21</v>
      </c>
      <c r="CL95" t="s">
        <v>89</v>
      </c>
    </row>
    <row r="96" spans="1:90" x14ac:dyDescent="0.3">
      <c r="A96" t="s">
        <v>72</v>
      </c>
      <c r="B96" t="s">
        <v>73</v>
      </c>
      <c r="C96" t="s">
        <v>74</v>
      </c>
      <c r="E96" t="str">
        <f>"080011654361"</f>
        <v>080011654361</v>
      </c>
      <c r="F96" s="3">
        <v>45952</v>
      </c>
      <c r="G96">
        <v>202607</v>
      </c>
      <c r="H96" t="s">
        <v>79</v>
      </c>
      <c r="I96" t="s">
        <v>80</v>
      </c>
      <c r="J96" t="s">
        <v>474</v>
      </c>
      <c r="K96" t="s">
        <v>78</v>
      </c>
      <c r="L96" t="s">
        <v>96</v>
      </c>
      <c r="M96" t="s">
        <v>97</v>
      </c>
      <c r="N96" t="s">
        <v>475</v>
      </c>
      <c r="O96" t="s">
        <v>101</v>
      </c>
      <c r="P96" t="str">
        <f>"-                             "</f>
        <v xml:space="preserve">-                             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>
        <v>0</v>
      </c>
      <c r="X96">
        <v>0</v>
      </c>
      <c r="Y96">
        <v>0</v>
      </c>
      <c r="Z96">
        <v>0</v>
      </c>
      <c r="AA96">
        <v>0</v>
      </c>
      <c r="AB96">
        <v>0</v>
      </c>
      <c r="AC96">
        <v>0</v>
      </c>
      <c r="AD96">
        <v>0</v>
      </c>
      <c r="AE96">
        <v>0</v>
      </c>
      <c r="AF96">
        <v>0</v>
      </c>
      <c r="AG96">
        <v>5.87</v>
      </c>
      <c r="AH96">
        <v>0</v>
      </c>
      <c r="AI96">
        <v>0</v>
      </c>
      <c r="AJ96">
        <v>0</v>
      </c>
      <c r="AK96">
        <v>0</v>
      </c>
      <c r="AL96">
        <v>0</v>
      </c>
      <c r="AM96">
        <v>0</v>
      </c>
      <c r="AN96">
        <v>0</v>
      </c>
      <c r="AO96">
        <v>0</v>
      </c>
      <c r="AP96">
        <v>0</v>
      </c>
      <c r="AQ96">
        <v>146.75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3</v>
      </c>
      <c r="BI96">
        <v>37.700000000000003</v>
      </c>
      <c r="BJ96">
        <v>73</v>
      </c>
      <c r="BK96">
        <v>73</v>
      </c>
      <c r="BL96">
        <v>471.64</v>
      </c>
      <c r="BM96">
        <v>70.75</v>
      </c>
      <c r="BN96">
        <v>542.39</v>
      </c>
      <c r="BO96">
        <v>542.39</v>
      </c>
      <c r="BP96" t="s">
        <v>476</v>
      </c>
      <c r="BQ96" t="s">
        <v>477</v>
      </c>
      <c r="BR96" t="s">
        <v>478</v>
      </c>
      <c r="BS96" s="3">
        <v>45954</v>
      </c>
      <c r="BT96" s="4">
        <v>0.49166666666666664</v>
      </c>
      <c r="BU96" t="s">
        <v>479</v>
      </c>
      <c r="BV96" t="s">
        <v>86</v>
      </c>
      <c r="BY96">
        <v>364851.84</v>
      </c>
      <c r="BZ96" t="s">
        <v>105</v>
      </c>
      <c r="CC96" t="s">
        <v>97</v>
      </c>
      <c r="CD96">
        <v>8000</v>
      </c>
      <c r="CE96" t="s">
        <v>88</v>
      </c>
      <c r="CF96" s="3">
        <v>45957</v>
      </c>
      <c r="CI96">
        <v>3</v>
      </c>
      <c r="CJ96">
        <v>2</v>
      </c>
      <c r="CK96">
        <v>41</v>
      </c>
      <c r="CL96" t="s">
        <v>89</v>
      </c>
    </row>
    <row r="97" spans="1:90" x14ac:dyDescent="0.3">
      <c r="A97" t="s">
        <v>72</v>
      </c>
      <c r="B97" t="s">
        <v>73</v>
      </c>
      <c r="C97" t="s">
        <v>74</v>
      </c>
      <c r="E97" t="str">
        <f>"009945160150"</f>
        <v>009945160150</v>
      </c>
      <c r="F97" s="3">
        <v>45952</v>
      </c>
      <c r="G97">
        <v>202607</v>
      </c>
      <c r="H97" t="s">
        <v>79</v>
      </c>
      <c r="I97" t="s">
        <v>80</v>
      </c>
      <c r="J97" t="s">
        <v>90</v>
      </c>
      <c r="K97" t="s">
        <v>78</v>
      </c>
      <c r="L97" t="s">
        <v>187</v>
      </c>
      <c r="M97" t="s">
        <v>188</v>
      </c>
      <c r="N97" t="s">
        <v>189</v>
      </c>
      <c r="O97" t="s">
        <v>82</v>
      </c>
      <c r="P97" t="str">
        <f>"11116561PC 402190             "</f>
        <v xml:space="preserve">11116561PC 402190             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0</v>
      </c>
      <c r="AP97">
        <v>0</v>
      </c>
      <c r="AQ97">
        <v>39.11</v>
      </c>
      <c r="AR97">
        <v>0</v>
      </c>
      <c r="AS97">
        <v>0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1</v>
      </c>
      <c r="BI97">
        <v>1</v>
      </c>
      <c r="BJ97">
        <v>3.4</v>
      </c>
      <c r="BK97">
        <v>3.5</v>
      </c>
      <c r="BL97">
        <v>124.13</v>
      </c>
      <c r="BM97">
        <v>18.62</v>
      </c>
      <c r="BN97">
        <v>142.75</v>
      </c>
      <c r="BO97">
        <v>142.75</v>
      </c>
      <c r="BQ97" t="s">
        <v>480</v>
      </c>
      <c r="BR97" t="s">
        <v>93</v>
      </c>
      <c r="BS97" s="3">
        <v>45953</v>
      </c>
      <c r="BT97" s="4">
        <v>0.56805555555555554</v>
      </c>
      <c r="BU97" t="s">
        <v>481</v>
      </c>
      <c r="BV97" t="s">
        <v>89</v>
      </c>
      <c r="BW97" t="s">
        <v>132</v>
      </c>
      <c r="BX97" t="s">
        <v>482</v>
      </c>
      <c r="BY97">
        <v>16800</v>
      </c>
      <c r="BZ97" t="s">
        <v>87</v>
      </c>
      <c r="CA97" t="s">
        <v>287</v>
      </c>
      <c r="CC97" t="s">
        <v>188</v>
      </c>
      <c r="CD97">
        <v>3610</v>
      </c>
      <c r="CE97" t="s">
        <v>88</v>
      </c>
      <c r="CF97" s="3">
        <v>45953</v>
      </c>
      <c r="CI97">
        <v>1</v>
      </c>
      <c r="CJ97">
        <v>1</v>
      </c>
      <c r="CK97">
        <v>21</v>
      </c>
      <c r="CL97" t="s">
        <v>89</v>
      </c>
    </row>
    <row r="98" spans="1:90" x14ac:dyDescent="0.3">
      <c r="A98" t="s">
        <v>72</v>
      </c>
      <c r="B98" t="s">
        <v>73</v>
      </c>
      <c r="C98" t="s">
        <v>74</v>
      </c>
      <c r="E98" t="str">
        <f>"009943054869"</f>
        <v>009943054869</v>
      </c>
      <c r="F98" s="3">
        <v>45952</v>
      </c>
      <c r="G98">
        <v>202607</v>
      </c>
      <c r="H98" t="s">
        <v>79</v>
      </c>
      <c r="I98" t="s">
        <v>80</v>
      </c>
      <c r="J98" t="s">
        <v>90</v>
      </c>
      <c r="K98" t="s">
        <v>78</v>
      </c>
      <c r="L98" t="s">
        <v>260</v>
      </c>
      <c r="M98" t="s">
        <v>261</v>
      </c>
      <c r="N98" t="s">
        <v>262</v>
      </c>
      <c r="O98" t="s">
        <v>82</v>
      </c>
      <c r="P98" t="str">
        <f>"11116561PC 402190             "</f>
        <v xml:space="preserve">11116561PC 402190             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0</v>
      </c>
      <c r="AF98">
        <v>0</v>
      </c>
      <c r="AG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0</v>
      </c>
      <c r="AQ98">
        <v>39.11</v>
      </c>
      <c r="AR98">
        <v>0</v>
      </c>
      <c r="AS98">
        <v>0</v>
      </c>
      <c r="AT98">
        <v>0</v>
      </c>
      <c r="AU98">
        <v>0</v>
      </c>
      <c r="AV98">
        <v>0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0</v>
      </c>
      <c r="BE98">
        <v>0</v>
      </c>
      <c r="BF98">
        <v>0</v>
      </c>
      <c r="BG98">
        <v>0</v>
      </c>
      <c r="BH98">
        <v>1</v>
      </c>
      <c r="BI98">
        <v>1</v>
      </c>
      <c r="BJ98">
        <v>3.4</v>
      </c>
      <c r="BK98">
        <v>3.5</v>
      </c>
      <c r="BL98">
        <v>124.13</v>
      </c>
      <c r="BM98">
        <v>18.62</v>
      </c>
      <c r="BN98">
        <v>142.75</v>
      </c>
      <c r="BO98">
        <v>142.75</v>
      </c>
      <c r="BQ98" t="s">
        <v>263</v>
      </c>
      <c r="BR98" t="s">
        <v>93</v>
      </c>
      <c r="BS98" s="3">
        <v>45953</v>
      </c>
      <c r="BT98" s="4">
        <v>0.4375</v>
      </c>
      <c r="BU98" t="s">
        <v>483</v>
      </c>
      <c r="BV98" t="s">
        <v>86</v>
      </c>
      <c r="BY98">
        <v>16800</v>
      </c>
      <c r="BZ98" t="s">
        <v>87</v>
      </c>
      <c r="CA98" t="s">
        <v>265</v>
      </c>
      <c r="CC98" t="s">
        <v>261</v>
      </c>
      <c r="CD98">
        <v>4302</v>
      </c>
      <c r="CE98" t="s">
        <v>88</v>
      </c>
      <c r="CF98" s="3">
        <v>45954</v>
      </c>
      <c r="CI98">
        <v>1</v>
      </c>
      <c r="CJ98">
        <v>1</v>
      </c>
      <c r="CK98">
        <v>21</v>
      </c>
      <c r="CL98" t="s">
        <v>89</v>
      </c>
    </row>
    <row r="99" spans="1:90" x14ac:dyDescent="0.3">
      <c r="A99" t="s">
        <v>72</v>
      </c>
      <c r="B99" t="s">
        <v>73</v>
      </c>
      <c r="C99" t="s">
        <v>74</v>
      </c>
      <c r="E99" t="str">
        <f>"009943104971"</f>
        <v>009943104971</v>
      </c>
      <c r="F99" s="3">
        <v>45952</v>
      </c>
      <c r="G99">
        <v>202607</v>
      </c>
      <c r="H99" t="s">
        <v>170</v>
      </c>
      <c r="I99" t="s">
        <v>171</v>
      </c>
      <c r="J99" t="s">
        <v>172</v>
      </c>
      <c r="K99" t="s">
        <v>78</v>
      </c>
      <c r="L99" t="s">
        <v>99</v>
      </c>
      <c r="M99" t="s">
        <v>100</v>
      </c>
      <c r="N99" t="s">
        <v>484</v>
      </c>
      <c r="O99" t="s">
        <v>82</v>
      </c>
      <c r="P99" t="str">
        <f>"                              "</f>
        <v xml:space="preserve">                              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F99">
        <v>0</v>
      </c>
      <c r="AG99">
        <v>0</v>
      </c>
      <c r="AH99">
        <v>0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Q99">
        <v>53.09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1</v>
      </c>
      <c r="BI99">
        <v>2</v>
      </c>
      <c r="BJ99">
        <v>2.4</v>
      </c>
      <c r="BK99">
        <v>2.5</v>
      </c>
      <c r="BL99">
        <v>168.51</v>
      </c>
      <c r="BM99">
        <v>25.28</v>
      </c>
      <c r="BN99">
        <v>193.79</v>
      </c>
      <c r="BO99">
        <v>193.79</v>
      </c>
      <c r="BQ99" t="s">
        <v>485</v>
      </c>
      <c r="BR99" t="s">
        <v>486</v>
      </c>
      <c r="BS99" s="3">
        <v>45953</v>
      </c>
      <c r="BT99" s="4">
        <v>0.32083333333333336</v>
      </c>
      <c r="BU99" t="s">
        <v>487</v>
      </c>
      <c r="BV99" t="s">
        <v>86</v>
      </c>
      <c r="BY99">
        <v>12000</v>
      </c>
      <c r="BZ99" t="s">
        <v>87</v>
      </c>
      <c r="CA99" t="s">
        <v>106</v>
      </c>
      <c r="CC99" t="s">
        <v>100</v>
      </c>
      <c r="CD99">
        <v>1600</v>
      </c>
      <c r="CE99" t="s">
        <v>175</v>
      </c>
      <c r="CF99" s="3">
        <v>45953</v>
      </c>
      <c r="CI99">
        <v>1</v>
      </c>
      <c r="CJ99">
        <v>1</v>
      </c>
      <c r="CK99">
        <v>23</v>
      </c>
      <c r="CL99" t="s">
        <v>89</v>
      </c>
    </row>
    <row r="100" spans="1:90" x14ac:dyDescent="0.3">
      <c r="A100" t="s">
        <v>72</v>
      </c>
      <c r="B100" t="s">
        <v>73</v>
      </c>
      <c r="C100" t="s">
        <v>74</v>
      </c>
      <c r="E100" t="str">
        <f>"009945197398"</f>
        <v>009945197398</v>
      </c>
      <c r="F100" s="3">
        <v>45953</v>
      </c>
      <c r="G100">
        <v>202607</v>
      </c>
      <c r="H100" t="s">
        <v>96</v>
      </c>
      <c r="I100" t="s">
        <v>97</v>
      </c>
      <c r="J100" t="s">
        <v>143</v>
      </c>
      <c r="K100" t="s">
        <v>78</v>
      </c>
      <c r="L100" t="s">
        <v>386</v>
      </c>
      <c r="M100" t="s">
        <v>387</v>
      </c>
      <c r="N100" t="s">
        <v>488</v>
      </c>
      <c r="O100" t="s">
        <v>101</v>
      </c>
      <c r="P100" t="str">
        <f>"MT CPT                        "</f>
        <v xml:space="preserve">MT CPT                        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F100">
        <v>0</v>
      </c>
      <c r="AG100">
        <v>5.87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Q100">
        <v>43.23</v>
      </c>
      <c r="AR100">
        <v>0</v>
      </c>
      <c r="AS100">
        <v>0</v>
      </c>
      <c r="AT100">
        <v>0</v>
      </c>
      <c r="AU100">
        <v>0</v>
      </c>
      <c r="AV100">
        <v>0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1</v>
      </c>
      <c r="BI100">
        <v>4.2</v>
      </c>
      <c r="BJ100">
        <v>4.8</v>
      </c>
      <c r="BK100">
        <v>5</v>
      </c>
      <c r="BL100">
        <v>143.08000000000001</v>
      </c>
      <c r="BM100">
        <v>21.46</v>
      </c>
      <c r="BN100">
        <v>164.54</v>
      </c>
      <c r="BO100">
        <v>164.54</v>
      </c>
      <c r="BQ100" t="s">
        <v>489</v>
      </c>
      <c r="BR100" t="s">
        <v>248</v>
      </c>
      <c r="BS100" s="3">
        <v>45957</v>
      </c>
      <c r="BT100" s="4">
        <v>0.39930555555555558</v>
      </c>
      <c r="BU100" t="s">
        <v>490</v>
      </c>
      <c r="BV100" t="s">
        <v>86</v>
      </c>
      <c r="BY100">
        <v>23912.61</v>
      </c>
      <c r="BZ100" t="s">
        <v>105</v>
      </c>
      <c r="CA100" t="s">
        <v>491</v>
      </c>
      <c r="CC100" t="s">
        <v>387</v>
      </c>
      <c r="CD100">
        <v>1200</v>
      </c>
      <c r="CE100" t="s">
        <v>88</v>
      </c>
      <c r="CF100" s="3">
        <v>45958</v>
      </c>
      <c r="CI100">
        <v>3</v>
      </c>
      <c r="CJ100">
        <v>2</v>
      </c>
      <c r="CK100">
        <v>41</v>
      </c>
      <c r="CL100" t="s">
        <v>89</v>
      </c>
    </row>
    <row r="101" spans="1:90" x14ac:dyDescent="0.3">
      <c r="A101" t="s">
        <v>72</v>
      </c>
      <c r="B101" t="s">
        <v>73</v>
      </c>
      <c r="C101" t="s">
        <v>74</v>
      </c>
      <c r="E101" t="str">
        <f>"R009942838028"</f>
        <v>R009942838028</v>
      </c>
      <c r="F101" s="3">
        <v>45953</v>
      </c>
      <c r="G101">
        <v>202607</v>
      </c>
      <c r="H101" t="s">
        <v>96</v>
      </c>
      <c r="I101" t="s">
        <v>97</v>
      </c>
      <c r="J101" t="s">
        <v>470</v>
      </c>
      <c r="K101" t="s">
        <v>78</v>
      </c>
      <c r="L101" t="s">
        <v>79</v>
      </c>
      <c r="M101" t="s">
        <v>80</v>
      </c>
      <c r="N101" t="s">
        <v>90</v>
      </c>
      <c r="O101" t="s">
        <v>82</v>
      </c>
      <c r="P101" t="str">
        <f>"18352432FS 460040             "</f>
        <v xml:space="preserve">18352432FS 460040             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F101">
        <v>0</v>
      </c>
      <c r="AG101">
        <v>0</v>
      </c>
      <c r="AH101">
        <v>0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Q101">
        <v>22.36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1</v>
      </c>
      <c r="BI101">
        <v>0.1</v>
      </c>
      <c r="BJ101">
        <v>0.3</v>
      </c>
      <c r="BK101">
        <v>0.5</v>
      </c>
      <c r="BL101">
        <v>70.959999999999994</v>
      </c>
      <c r="BM101">
        <v>10.64</v>
      </c>
      <c r="BN101">
        <v>81.599999999999994</v>
      </c>
      <c r="BO101">
        <v>81.599999999999994</v>
      </c>
      <c r="BQ101" t="s">
        <v>162</v>
      </c>
      <c r="BR101" t="s">
        <v>471</v>
      </c>
      <c r="BS101" s="3">
        <v>45954</v>
      </c>
      <c r="BT101" s="4">
        <v>0.3576388888888889</v>
      </c>
      <c r="BU101" t="s">
        <v>120</v>
      </c>
      <c r="BV101" t="s">
        <v>86</v>
      </c>
      <c r="BY101">
        <v>1393.56</v>
      </c>
      <c r="CA101" t="s">
        <v>121</v>
      </c>
      <c r="CC101" t="s">
        <v>80</v>
      </c>
      <c r="CD101">
        <v>2021</v>
      </c>
      <c r="CE101" t="s">
        <v>88</v>
      </c>
      <c r="CF101" s="3">
        <v>45955</v>
      </c>
      <c r="CI101">
        <v>1</v>
      </c>
      <c r="CJ101">
        <v>1</v>
      </c>
      <c r="CK101">
        <v>21</v>
      </c>
      <c r="CL101" t="s">
        <v>89</v>
      </c>
    </row>
    <row r="102" spans="1:90" x14ac:dyDescent="0.3">
      <c r="A102" t="s">
        <v>72</v>
      </c>
      <c r="B102" t="s">
        <v>73</v>
      </c>
      <c r="C102" t="s">
        <v>74</v>
      </c>
      <c r="E102" t="str">
        <f>"009944505575"</f>
        <v>009944505575</v>
      </c>
      <c r="F102" s="3">
        <v>45953</v>
      </c>
      <c r="G102">
        <v>202607</v>
      </c>
      <c r="H102" t="s">
        <v>79</v>
      </c>
      <c r="I102" t="s">
        <v>80</v>
      </c>
      <c r="J102" t="s">
        <v>117</v>
      </c>
      <c r="K102" t="s">
        <v>78</v>
      </c>
      <c r="L102" t="s">
        <v>96</v>
      </c>
      <c r="M102" t="s">
        <v>97</v>
      </c>
      <c r="N102" t="s">
        <v>315</v>
      </c>
      <c r="O102" t="s">
        <v>82</v>
      </c>
      <c r="P102" t="str">
        <f>"11005000BT 402190             "</f>
        <v xml:space="preserve">11005000BT 402190             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0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Q102">
        <v>22.36</v>
      </c>
      <c r="AR102">
        <v>0</v>
      </c>
      <c r="AS102">
        <v>0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1</v>
      </c>
      <c r="BI102">
        <v>1</v>
      </c>
      <c r="BJ102">
        <v>0.2</v>
      </c>
      <c r="BK102">
        <v>1</v>
      </c>
      <c r="BL102">
        <v>70.959999999999994</v>
      </c>
      <c r="BM102">
        <v>10.64</v>
      </c>
      <c r="BN102">
        <v>81.599999999999994</v>
      </c>
      <c r="BO102">
        <v>81.599999999999994</v>
      </c>
      <c r="BP102" t="s">
        <v>231</v>
      </c>
      <c r="BQ102" t="s">
        <v>218</v>
      </c>
      <c r="BR102" t="s">
        <v>319</v>
      </c>
      <c r="BS102" s="3">
        <v>45954</v>
      </c>
      <c r="BT102" s="4">
        <v>0.41666666666666669</v>
      </c>
      <c r="BU102" t="s">
        <v>492</v>
      </c>
      <c r="BV102" t="s">
        <v>86</v>
      </c>
      <c r="BY102">
        <v>1200</v>
      </c>
      <c r="BZ102" t="s">
        <v>87</v>
      </c>
      <c r="CC102" t="s">
        <v>97</v>
      </c>
      <c r="CD102">
        <v>8001</v>
      </c>
      <c r="CE102" t="s">
        <v>88</v>
      </c>
      <c r="CF102" s="3">
        <v>45957</v>
      </c>
      <c r="CI102">
        <v>1</v>
      </c>
      <c r="CJ102">
        <v>1</v>
      </c>
      <c r="CK102">
        <v>21</v>
      </c>
      <c r="CL102" t="s">
        <v>89</v>
      </c>
    </row>
    <row r="103" spans="1:90" x14ac:dyDescent="0.3">
      <c r="A103" t="s">
        <v>72</v>
      </c>
      <c r="B103" t="s">
        <v>73</v>
      </c>
      <c r="C103" t="s">
        <v>74</v>
      </c>
      <c r="E103" t="str">
        <f>"009944219392"</f>
        <v>009944219392</v>
      </c>
      <c r="F103" s="3">
        <v>45953</v>
      </c>
      <c r="G103">
        <v>202607</v>
      </c>
      <c r="H103" t="s">
        <v>79</v>
      </c>
      <c r="I103" t="s">
        <v>80</v>
      </c>
      <c r="J103" t="s">
        <v>90</v>
      </c>
      <c r="K103" t="s">
        <v>78</v>
      </c>
      <c r="L103" t="s">
        <v>75</v>
      </c>
      <c r="M103" t="s">
        <v>76</v>
      </c>
      <c r="N103" t="s">
        <v>230</v>
      </c>
      <c r="O103" t="s">
        <v>82</v>
      </c>
      <c r="P103" t="str">
        <f>"11116561PC 402190             "</f>
        <v xml:space="preserve">11116561PC 402190             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  <c r="AM103">
        <v>0</v>
      </c>
      <c r="AN103">
        <v>0</v>
      </c>
      <c r="AO103">
        <v>0</v>
      </c>
      <c r="AP103">
        <v>0</v>
      </c>
      <c r="AQ103">
        <v>22.36</v>
      </c>
      <c r="AR103">
        <v>0</v>
      </c>
      <c r="AS103">
        <v>0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1</v>
      </c>
      <c r="BI103">
        <v>1</v>
      </c>
      <c r="BJ103">
        <v>0.2</v>
      </c>
      <c r="BK103">
        <v>1</v>
      </c>
      <c r="BL103">
        <v>70.959999999999994</v>
      </c>
      <c r="BM103">
        <v>10.64</v>
      </c>
      <c r="BN103">
        <v>81.599999999999994</v>
      </c>
      <c r="BO103">
        <v>81.599999999999994</v>
      </c>
      <c r="BP103" t="s">
        <v>209</v>
      </c>
      <c r="BQ103" t="s">
        <v>493</v>
      </c>
      <c r="BR103" t="s">
        <v>298</v>
      </c>
      <c r="BS103" s="3">
        <v>45954</v>
      </c>
      <c r="BT103" s="4">
        <v>0.41666666666666669</v>
      </c>
      <c r="BU103" t="s">
        <v>494</v>
      </c>
      <c r="BV103" t="s">
        <v>86</v>
      </c>
      <c r="BY103">
        <v>1200</v>
      </c>
      <c r="BZ103" t="s">
        <v>87</v>
      </c>
      <c r="CA103" t="s">
        <v>320</v>
      </c>
      <c r="CC103" t="s">
        <v>76</v>
      </c>
      <c r="CD103">
        <v>4001</v>
      </c>
      <c r="CE103" t="s">
        <v>88</v>
      </c>
      <c r="CF103" s="3">
        <v>45954</v>
      </c>
      <c r="CI103">
        <v>1</v>
      </c>
      <c r="CJ103">
        <v>1</v>
      </c>
      <c r="CK103">
        <v>21</v>
      </c>
      <c r="CL103" t="s">
        <v>89</v>
      </c>
    </row>
    <row r="104" spans="1:90" x14ac:dyDescent="0.3">
      <c r="A104" t="s">
        <v>72</v>
      </c>
      <c r="B104" t="s">
        <v>73</v>
      </c>
      <c r="C104" t="s">
        <v>74</v>
      </c>
      <c r="E104" t="str">
        <f>"009943054870"</f>
        <v>009943054870</v>
      </c>
      <c r="F104" s="3">
        <v>45953</v>
      </c>
      <c r="G104">
        <v>202607</v>
      </c>
      <c r="H104" t="s">
        <v>79</v>
      </c>
      <c r="I104" t="s">
        <v>80</v>
      </c>
      <c r="J104" t="s">
        <v>90</v>
      </c>
      <c r="K104" t="s">
        <v>78</v>
      </c>
      <c r="L104" t="s">
        <v>260</v>
      </c>
      <c r="M104" t="s">
        <v>261</v>
      </c>
      <c r="N104" t="s">
        <v>262</v>
      </c>
      <c r="O104" t="s">
        <v>82</v>
      </c>
      <c r="P104" t="str">
        <f>"11116561PC 42190              "</f>
        <v xml:space="preserve">11116561PC 42190              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0</v>
      </c>
      <c r="AK104">
        <v>0</v>
      </c>
      <c r="AL104">
        <v>0</v>
      </c>
      <c r="AM104">
        <v>0</v>
      </c>
      <c r="AN104">
        <v>0</v>
      </c>
      <c r="AO104">
        <v>0</v>
      </c>
      <c r="AP104">
        <v>0</v>
      </c>
      <c r="AQ104">
        <v>22.36</v>
      </c>
      <c r="AR104">
        <v>0</v>
      </c>
      <c r="AS104">
        <v>0</v>
      </c>
      <c r="AT104">
        <v>0</v>
      </c>
      <c r="AU104">
        <v>0</v>
      </c>
      <c r="AV104">
        <v>0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1</v>
      </c>
      <c r="BI104">
        <v>1</v>
      </c>
      <c r="BJ104">
        <v>0.2</v>
      </c>
      <c r="BK104">
        <v>1</v>
      </c>
      <c r="BL104">
        <v>70.959999999999994</v>
      </c>
      <c r="BM104">
        <v>10.64</v>
      </c>
      <c r="BN104">
        <v>81.599999999999994</v>
      </c>
      <c r="BO104">
        <v>81.599999999999994</v>
      </c>
      <c r="BP104" t="s">
        <v>231</v>
      </c>
      <c r="BQ104" t="s">
        <v>263</v>
      </c>
      <c r="BR104" t="s">
        <v>267</v>
      </c>
      <c r="BS104" s="3">
        <v>45954</v>
      </c>
      <c r="BT104" s="4">
        <v>0.57638888888888884</v>
      </c>
      <c r="BU104" t="s">
        <v>495</v>
      </c>
      <c r="BV104" t="s">
        <v>89</v>
      </c>
      <c r="BW104" t="s">
        <v>496</v>
      </c>
      <c r="BX104" t="s">
        <v>406</v>
      </c>
      <c r="BY104">
        <v>1200</v>
      </c>
      <c r="BZ104" t="s">
        <v>87</v>
      </c>
      <c r="CA104" t="s">
        <v>497</v>
      </c>
      <c r="CC104" t="s">
        <v>261</v>
      </c>
      <c r="CD104">
        <v>4302</v>
      </c>
      <c r="CE104" t="s">
        <v>88</v>
      </c>
      <c r="CF104" s="3">
        <v>45957</v>
      </c>
      <c r="CI104">
        <v>1</v>
      </c>
      <c r="CJ104">
        <v>1</v>
      </c>
      <c r="CK104">
        <v>21</v>
      </c>
      <c r="CL104" t="s">
        <v>89</v>
      </c>
    </row>
    <row r="105" spans="1:90" x14ac:dyDescent="0.3">
      <c r="A105" t="s">
        <v>72</v>
      </c>
      <c r="B105" t="s">
        <v>73</v>
      </c>
      <c r="C105" t="s">
        <v>74</v>
      </c>
      <c r="E105" t="str">
        <f>"009945160149"</f>
        <v>009945160149</v>
      </c>
      <c r="F105" s="3">
        <v>45953</v>
      </c>
      <c r="G105">
        <v>202607</v>
      </c>
      <c r="H105" t="s">
        <v>79</v>
      </c>
      <c r="I105" t="s">
        <v>80</v>
      </c>
      <c r="J105" t="s">
        <v>90</v>
      </c>
      <c r="K105" t="s">
        <v>78</v>
      </c>
      <c r="L105" t="s">
        <v>187</v>
      </c>
      <c r="M105" t="s">
        <v>188</v>
      </c>
      <c r="N105" t="s">
        <v>498</v>
      </c>
      <c r="O105" t="s">
        <v>82</v>
      </c>
      <c r="P105" t="str">
        <f>"11116561PC 402190             "</f>
        <v xml:space="preserve">11116561PC 402190             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0</v>
      </c>
      <c r="AA105">
        <v>0</v>
      </c>
      <c r="AB105">
        <v>0</v>
      </c>
      <c r="AC105">
        <v>0</v>
      </c>
      <c r="AD105">
        <v>0</v>
      </c>
      <c r="AE105">
        <v>0</v>
      </c>
      <c r="AF105">
        <v>0</v>
      </c>
      <c r="AG105">
        <v>0</v>
      </c>
      <c r="AH105">
        <v>0</v>
      </c>
      <c r="AI105">
        <v>0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22.36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1</v>
      </c>
      <c r="BI105">
        <v>1</v>
      </c>
      <c r="BJ105">
        <v>0.2</v>
      </c>
      <c r="BK105">
        <v>1</v>
      </c>
      <c r="BL105">
        <v>70.959999999999994</v>
      </c>
      <c r="BM105">
        <v>10.64</v>
      </c>
      <c r="BN105">
        <v>81.599999999999994</v>
      </c>
      <c r="BO105">
        <v>81.599999999999994</v>
      </c>
      <c r="BP105" t="s">
        <v>231</v>
      </c>
      <c r="BQ105" t="s">
        <v>499</v>
      </c>
      <c r="BR105" t="s">
        <v>298</v>
      </c>
      <c r="BS105" s="3">
        <v>45954</v>
      </c>
      <c r="BT105" s="4">
        <v>0.41736111111111113</v>
      </c>
      <c r="BU105" t="s">
        <v>192</v>
      </c>
      <c r="BV105" t="s">
        <v>86</v>
      </c>
      <c r="BY105">
        <v>1200</v>
      </c>
      <c r="BZ105" t="s">
        <v>87</v>
      </c>
      <c r="CA105" t="s">
        <v>95</v>
      </c>
      <c r="CC105" t="s">
        <v>188</v>
      </c>
      <c r="CD105">
        <v>3610</v>
      </c>
      <c r="CE105" t="s">
        <v>88</v>
      </c>
      <c r="CF105" s="3">
        <v>45954</v>
      </c>
      <c r="CI105">
        <v>1</v>
      </c>
      <c r="CJ105">
        <v>1</v>
      </c>
      <c r="CK105">
        <v>21</v>
      </c>
      <c r="CL105" t="s">
        <v>89</v>
      </c>
    </row>
    <row r="106" spans="1:90" x14ac:dyDescent="0.3">
      <c r="A106" t="s">
        <v>72</v>
      </c>
      <c r="B106" t="s">
        <v>73</v>
      </c>
      <c r="C106" t="s">
        <v>74</v>
      </c>
      <c r="E106" t="str">
        <f>"009944505859"</f>
        <v>009944505859</v>
      </c>
      <c r="F106" s="3">
        <v>45953</v>
      </c>
      <c r="G106">
        <v>202607</v>
      </c>
      <c r="H106" t="s">
        <v>79</v>
      </c>
      <c r="I106" t="s">
        <v>80</v>
      </c>
      <c r="J106" t="s">
        <v>90</v>
      </c>
      <c r="K106" t="s">
        <v>78</v>
      </c>
      <c r="L106" t="s">
        <v>126</v>
      </c>
      <c r="M106" t="s">
        <v>127</v>
      </c>
      <c r="N106" t="s">
        <v>500</v>
      </c>
      <c r="O106" t="s">
        <v>101</v>
      </c>
      <c r="P106" t="str">
        <f>"11112300FS 432090             "</f>
        <v xml:space="preserve">11112300FS 432090             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0</v>
      </c>
      <c r="AE106">
        <v>0</v>
      </c>
      <c r="AF106">
        <v>0</v>
      </c>
      <c r="AG106">
        <v>5.87</v>
      </c>
      <c r="AH106">
        <v>0</v>
      </c>
      <c r="AI106">
        <v>0</v>
      </c>
      <c r="AJ106">
        <v>0</v>
      </c>
      <c r="AK106">
        <v>0</v>
      </c>
      <c r="AL106">
        <v>0</v>
      </c>
      <c r="AM106">
        <v>0</v>
      </c>
      <c r="AN106">
        <v>0</v>
      </c>
      <c r="AO106">
        <v>0</v>
      </c>
      <c r="AP106">
        <v>0</v>
      </c>
      <c r="AQ106">
        <v>43.23</v>
      </c>
      <c r="AR106">
        <v>0</v>
      </c>
      <c r="AS106">
        <v>0</v>
      </c>
      <c r="AT106">
        <v>0</v>
      </c>
      <c r="AU106">
        <v>0</v>
      </c>
      <c r="AV106">
        <v>0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  <c r="BC106">
        <v>0</v>
      </c>
      <c r="BD106">
        <v>0</v>
      </c>
      <c r="BE106">
        <v>0</v>
      </c>
      <c r="BF106">
        <v>0</v>
      </c>
      <c r="BG106">
        <v>0</v>
      </c>
      <c r="BH106">
        <v>1</v>
      </c>
      <c r="BI106">
        <v>1</v>
      </c>
      <c r="BJ106">
        <v>0.2</v>
      </c>
      <c r="BK106">
        <v>1</v>
      </c>
      <c r="BL106">
        <v>143.08000000000001</v>
      </c>
      <c r="BM106">
        <v>21.46</v>
      </c>
      <c r="BN106">
        <v>164.54</v>
      </c>
      <c r="BO106">
        <v>164.54</v>
      </c>
      <c r="BP106" t="s">
        <v>231</v>
      </c>
      <c r="BQ106" t="s">
        <v>501</v>
      </c>
      <c r="BR106" t="s">
        <v>502</v>
      </c>
      <c r="BS106" s="3">
        <v>45957</v>
      </c>
      <c r="BT106" s="4">
        <v>0.40208333333333335</v>
      </c>
      <c r="BU106" t="s">
        <v>503</v>
      </c>
      <c r="BV106" t="s">
        <v>86</v>
      </c>
      <c r="BY106">
        <v>1200</v>
      </c>
      <c r="BZ106" t="s">
        <v>105</v>
      </c>
      <c r="CA106" t="s">
        <v>164</v>
      </c>
      <c r="CC106" t="s">
        <v>127</v>
      </c>
      <c r="CD106">
        <v>6045</v>
      </c>
      <c r="CE106" t="s">
        <v>88</v>
      </c>
      <c r="CF106" s="3">
        <v>45957</v>
      </c>
      <c r="CI106">
        <v>3</v>
      </c>
      <c r="CJ106">
        <v>2</v>
      </c>
      <c r="CK106">
        <v>41</v>
      </c>
      <c r="CL106" t="s">
        <v>89</v>
      </c>
    </row>
    <row r="107" spans="1:90" x14ac:dyDescent="0.3">
      <c r="A107" t="s">
        <v>72</v>
      </c>
      <c r="B107" t="s">
        <v>73</v>
      </c>
      <c r="C107" t="s">
        <v>74</v>
      </c>
      <c r="E107" t="str">
        <f>"009943054871"</f>
        <v>009943054871</v>
      </c>
      <c r="F107" s="3">
        <v>45953</v>
      </c>
      <c r="G107">
        <v>202607</v>
      </c>
      <c r="H107" t="s">
        <v>79</v>
      </c>
      <c r="I107" t="s">
        <v>80</v>
      </c>
      <c r="J107" t="s">
        <v>90</v>
      </c>
      <c r="K107" t="s">
        <v>78</v>
      </c>
      <c r="L107" t="s">
        <v>260</v>
      </c>
      <c r="M107" t="s">
        <v>261</v>
      </c>
      <c r="N107" t="s">
        <v>262</v>
      </c>
      <c r="O107" t="s">
        <v>82</v>
      </c>
      <c r="P107" t="str">
        <f>"11116561PC 402190             "</f>
        <v xml:space="preserve">11116561PC 402190             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0</v>
      </c>
      <c r="Z107">
        <v>0</v>
      </c>
      <c r="AA107">
        <v>0</v>
      </c>
      <c r="AB107">
        <v>0</v>
      </c>
      <c r="AC107">
        <v>0</v>
      </c>
      <c r="AD107">
        <v>0</v>
      </c>
      <c r="AE107">
        <v>0</v>
      </c>
      <c r="AF107">
        <v>0</v>
      </c>
      <c r="AG107">
        <v>0</v>
      </c>
      <c r="AH107">
        <v>0</v>
      </c>
      <c r="AI107">
        <v>0</v>
      </c>
      <c r="AJ107">
        <v>0</v>
      </c>
      <c r="AK107">
        <v>0</v>
      </c>
      <c r="AL107">
        <v>0</v>
      </c>
      <c r="AM107">
        <v>0</v>
      </c>
      <c r="AN107">
        <v>0</v>
      </c>
      <c r="AO107">
        <v>0</v>
      </c>
      <c r="AP107">
        <v>0</v>
      </c>
      <c r="AQ107">
        <v>22.36</v>
      </c>
      <c r="AR107">
        <v>0</v>
      </c>
      <c r="AS107">
        <v>0</v>
      </c>
      <c r="AT107">
        <v>0</v>
      </c>
      <c r="AU107">
        <v>0</v>
      </c>
      <c r="AV107">
        <v>0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0</v>
      </c>
      <c r="BF107">
        <v>0</v>
      </c>
      <c r="BG107">
        <v>0</v>
      </c>
      <c r="BH107">
        <v>1</v>
      </c>
      <c r="BI107">
        <v>1</v>
      </c>
      <c r="BJ107">
        <v>0.2</v>
      </c>
      <c r="BK107">
        <v>1</v>
      </c>
      <c r="BL107">
        <v>70.959999999999994</v>
      </c>
      <c r="BM107">
        <v>10.64</v>
      </c>
      <c r="BN107">
        <v>81.599999999999994</v>
      </c>
      <c r="BO107">
        <v>81.599999999999994</v>
      </c>
      <c r="BP107" t="s">
        <v>209</v>
      </c>
      <c r="BQ107" t="s">
        <v>504</v>
      </c>
      <c r="BR107" t="s">
        <v>505</v>
      </c>
      <c r="BS107" s="3">
        <v>45954</v>
      </c>
      <c r="BT107" s="4">
        <v>0.57638888888888884</v>
      </c>
      <c r="BU107" t="s">
        <v>495</v>
      </c>
      <c r="BV107" t="s">
        <v>89</v>
      </c>
      <c r="BW107" t="s">
        <v>496</v>
      </c>
      <c r="BX107" t="s">
        <v>406</v>
      </c>
      <c r="BY107">
        <v>1200</v>
      </c>
      <c r="BZ107" t="s">
        <v>87</v>
      </c>
      <c r="CA107" t="s">
        <v>497</v>
      </c>
      <c r="CC107" t="s">
        <v>261</v>
      </c>
      <c r="CD107">
        <v>4302</v>
      </c>
      <c r="CE107" t="s">
        <v>88</v>
      </c>
      <c r="CF107" s="3">
        <v>45954</v>
      </c>
      <c r="CI107">
        <v>1</v>
      </c>
      <c r="CJ107">
        <v>1</v>
      </c>
      <c r="CK107">
        <v>21</v>
      </c>
      <c r="CL107" t="s">
        <v>89</v>
      </c>
    </row>
    <row r="108" spans="1:90" x14ac:dyDescent="0.3">
      <c r="A108" t="s">
        <v>72</v>
      </c>
      <c r="B108" t="s">
        <v>73</v>
      </c>
      <c r="C108" t="s">
        <v>74</v>
      </c>
      <c r="E108" t="str">
        <f>"009944622552"</f>
        <v>009944622552</v>
      </c>
      <c r="F108" s="3">
        <v>45953</v>
      </c>
      <c r="G108">
        <v>202607</v>
      </c>
      <c r="H108" t="s">
        <v>75</v>
      </c>
      <c r="I108" t="s">
        <v>76</v>
      </c>
      <c r="J108" t="s">
        <v>506</v>
      </c>
      <c r="K108" t="s">
        <v>78</v>
      </c>
      <c r="L108" t="s">
        <v>79</v>
      </c>
      <c r="M108" t="s">
        <v>80</v>
      </c>
      <c r="N108" t="s">
        <v>507</v>
      </c>
      <c r="O108" t="s">
        <v>101</v>
      </c>
      <c r="P108" t="str">
        <f>"                              "</f>
        <v xml:space="preserve">                              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>
        <v>0</v>
      </c>
      <c r="X108">
        <v>0</v>
      </c>
      <c r="Y108">
        <v>0</v>
      </c>
      <c r="Z108">
        <v>0</v>
      </c>
      <c r="AA108">
        <v>0</v>
      </c>
      <c r="AB108">
        <v>0</v>
      </c>
      <c r="AC108">
        <v>0</v>
      </c>
      <c r="AD108">
        <v>0</v>
      </c>
      <c r="AE108">
        <v>0</v>
      </c>
      <c r="AF108">
        <v>0</v>
      </c>
      <c r="AG108">
        <v>5.87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0</v>
      </c>
      <c r="AN108">
        <v>0</v>
      </c>
      <c r="AO108">
        <v>0</v>
      </c>
      <c r="AP108">
        <v>0</v>
      </c>
      <c r="AQ108">
        <v>43.23</v>
      </c>
      <c r="AR108">
        <v>0</v>
      </c>
      <c r="AS108">
        <v>0</v>
      </c>
      <c r="AT108">
        <v>0</v>
      </c>
      <c r="AU108">
        <v>0</v>
      </c>
      <c r="AV108">
        <v>0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  <c r="BC108">
        <v>0</v>
      </c>
      <c r="BD108">
        <v>0</v>
      </c>
      <c r="BE108">
        <v>0</v>
      </c>
      <c r="BF108">
        <v>0</v>
      </c>
      <c r="BG108">
        <v>0</v>
      </c>
      <c r="BH108">
        <v>1</v>
      </c>
      <c r="BI108">
        <v>1</v>
      </c>
      <c r="BJ108">
        <v>0.2</v>
      </c>
      <c r="BK108">
        <v>1</v>
      </c>
      <c r="BL108">
        <v>143.08000000000001</v>
      </c>
      <c r="BM108">
        <v>21.46</v>
      </c>
      <c r="BN108">
        <v>164.54</v>
      </c>
      <c r="BO108">
        <v>164.54</v>
      </c>
      <c r="BR108" t="s">
        <v>430</v>
      </c>
      <c r="BS108" s="3">
        <v>45954</v>
      </c>
      <c r="BT108" s="4">
        <v>0.34375</v>
      </c>
      <c r="BU108" t="s">
        <v>120</v>
      </c>
      <c r="BV108" t="s">
        <v>86</v>
      </c>
      <c r="BY108">
        <v>1200</v>
      </c>
      <c r="BZ108" t="s">
        <v>105</v>
      </c>
      <c r="CA108" t="s">
        <v>121</v>
      </c>
      <c r="CC108" t="s">
        <v>80</v>
      </c>
      <c r="CD108">
        <v>2021</v>
      </c>
      <c r="CE108" t="s">
        <v>88</v>
      </c>
      <c r="CF108" s="3">
        <v>45955</v>
      </c>
      <c r="CI108">
        <v>1</v>
      </c>
      <c r="CJ108">
        <v>1</v>
      </c>
      <c r="CK108">
        <v>41</v>
      </c>
      <c r="CL108" t="s">
        <v>89</v>
      </c>
    </row>
    <row r="109" spans="1:90" x14ac:dyDescent="0.3">
      <c r="A109" t="s">
        <v>72</v>
      </c>
      <c r="B109" t="s">
        <v>73</v>
      </c>
      <c r="C109" t="s">
        <v>74</v>
      </c>
      <c r="E109" t="str">
        <f>"080011657671"</f>
        <v>080011657671</v>
      </c>
      <c r="F109" s="3">
        <v>45954</v>
      </c>
      <c r="G109">
        <v>202607</v>
      </c>
      <c r="H109" t="s">
        <v>126</v>
      </c>
      <c r="I109" t="s">
        <v>127</v>
      </c>
      <c r="J109" t="s">
        <v>246</v>
      </c>
      <c r="K109" t="s">
        <v>78</v>
      </c>
      <c r="L109" t="s">
        <v>155</v>
      </c>
      <c r="M109" t="s">
        <v>156</v>
      </c>
      <c r="N109" t="s">
        <v>324</v>
      </c>
      <c r="O109" t="s">
        <v>101</v>
      </c>
      <c r="P109" t="str">
        <f>"-                             "</f>
        <v xml:space="preserve">-                             </v>
      </c>
      <c r="Q109">
        <v>0</v>
      </c>
      <c r="R109">
        <v>0</v>
      </c>
      <c r="S109">
        <v>0</v>
      </c>
      <c r="T109">
        <v>0</v>
      </c>
      <c r="U109">
        <v>0</v>
      </c>
      <c r="V109">
        <v>0</v>
      </c>
      <c r="W109">
        <v>0</v>
      </c>
      <c r="X109">
        <v>0</v>
      </c>
      <c r="Y109">
        <v>0</v>
      </c>
      <c r="Z109">
        <v>0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5.87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43.23</v>
      </c>
      <c r="AR109">
        <v>0</v>
      </c>
      <c r="AS109">
        <v>0</v>
      </c>
      <c r="AT109">
        <v>0</v>
      </c>
      <c r="AU109">
        <v>0</v>
      </c>
      <c r="AV109">
        <v>0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  <c r="BC109">
        <v>0</v>
      </c>
      <c r="BD109">
        <v>0</v>
      </c>
      <c r="BE109">
        <v>0</v>
      </c>
      <c r="BF109">
        <v>0</v>
      </c>
      <c r="BG109">
        <v>0</v>
      </c>
      <c r="BH109">
        <v>1</v>
      </c>
      <c r="BI109">
        <v>9</v>
      </c>
      <c r="BJ109">
        <v>9</v>
      </c>
      <c r="BK109">
        <v>9</v>
      </c>
      <c r="BL109">
        <v>143.08000000000001</v>
      </c>
      <c r="BM109">
        <v>21.46</v>
      </c>
      <c r="BN109">
        <v>164.54</v>
      </c>
      <c r="BO109">
        <v>164.54</v>
      </c>
      <c r="BQ109" t="s">
        <v>508</v>
      </c>
      <c r="BR109" t="s">
        <v>249</v>
      </c>
      <c r="BS109" s="3">
        <v>45957</v>
      </c>
      <c r="BT109" s="4">
        <v>0.57986111111111116</v>
      </c>
      <c r="BU109" t="s">
        <v>242</v>
      </c>
      <c r="BV109" t="s">
        <v>86</v>
      </c>
      <c r="BY109">
        <v>45167</v>
      </c>
      <c r="BZ109" t="s">
        <v>105</v>
      </c>
      <c r="CA109" t="s">
        <v>159</v>
      </c>
      <c r="CC109" t="s">
        <v>156</v>
      </c>
      <c r="CD109">
        <v>1683</v>
      </c>
      <c r="CE109" t="s">
        <v>88</v>
      </c>
      <c r="CF109" s="3">
        <v>45958</v>
      </c>
      <c r="CI109">
        <v>3</v>
      </c>
      <c r="CJ109">
        <v>1</v>
      </c>
      <c r="CK109">
        <v>41</v>
      </c>
      <c r="CL109" t="s">
        <v>89</v>
      </c>
    </row>
    <row r="110" spans="1:90" x14ac:dyDescent="0.3">
      <c r="A110" t="s">
        <v>72</v>
      </c>
      <c r="B110" t="s">
        <v>73</v>
      </c>
      <c r="C110" t="s">
        <v>74</v>
      </c>
      <c r="E110" t="str">
        <f>"009944622556"</f>
        <v>009944622556</v>
      </c>
      <c r="F110" s="3">
        <v>45954</v>
      </c>
      <c r="G110">
        <v>202607</v>
      </c>
      <c r="H110" t="s">
        <v>75</v>
      </c>
      <c r="I110" t="s">
        <v>76</v>
      </c>
      <c r="J110" t="s">
        <v>509</v>
      </c>
      <c r="K110" t="s">
        <v>78</v>
      </c>
      <c r="L110" t="s">
        <v>79</v>
      </c>
      <c r="M110" t="s">
        <v>80</v>
      </c>
      <c r="N110" t="s">
        <v>81</v>
      </c>
      <c r="O110" t="s">
        <v>82</v>
      </c>
      <c r="P110" t="str">
        <f>"079 320 0926                  "</f>
        <v xml:space="preserve">079 320 0926                  </v>
      </c>
      <c r="Q110">
        <v>0</v>
      </c>
      <c r="R110">
        <v>0</v>
      </c>
      <c r="S110">
        <v>0</v>
      </c>
      <c r="T110">
        <v>0</v>
      </c>
      <c r="U110">
        <v>0</v>
      </c>
      <c r="V110">
        <v>0</v>
      </c>
      <c r="W110">
        <v>0</v>
      </c>
      <c r="X110">
        <v>0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0</v>
      </c>
      <c r="AF110">
        <v>0</v>
      </c>
      <c r="AG110">
        <v>0</v>
      </c>
      <c r="AH110">
        <v>0</v>
      </c>
      <c r="AI110">
        <v>0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0</v>
      </c>
      <c r="AQ110">
        <v>22.36</v>
      </c>
      <c r="AR110">
        <v>0</v>
      </c>
      <c r="AS110">
        <v>0</v>
      </c>
      <c r="AT110">
        <v>0</v>
      </c>
      <c r="AU110">
        <v>0</v>
      </c>
      <c r="AV110">
        <v>0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  <c r="BC110">
        <v>0</v>
      </c>
      <c r="BD110">
        <v>0</v>
      </c>
      <c r="BE110">
        <v>0</v>
      </c>
      <c r="BF110">
        <v>0</v>
      </c>
      <c r="BG110">
        <v>0</v>
      </c>
      <c r="BH110">
        <v>1</v>
      </c>
      <c r="BI110">
        <v>1</v>
      </c>
      <c r="BJ110">
        <v>0.2</v>
      </c>
      <c r="BK110">
        <v>1</v>
      </c>
      <c r="BL110">
        <v>70.959999999999994</v>
      </c>
      <c r="BM110">
        <v>10.64</v>
      </c>
      <c r="BN110">
        <v>81.599999999999994</v>
      </c>
      <c r="BO110">
        <v>81.599999999999994</v>
      </c>
      <c r="BQ110" t="s">
        <v>510</v>
      </c>
      <c r="BR110" t="s">
        <v>511</v>
      </c>
      <c r="BS110" s="3">
        <v>45957</v>
      </c>
      <c r="BT110" s="4">
        <v>0.43402777777777779</v>
      </c>
      <c r="BU110" t="s">
        <v>85</v>
      </c>
      <c r="BV110" t="s">
        <v>86</v>
      </c>
      <c r="BY110">
        <v>1200</v>
      </c>
      <c r="BZ110" t="s">
        <v>87</v>
      </c>
      <c r="CA110" t="s">
        <v>512</v>
      </c>
      <c r="CC110" t="s">
        <v>80</v>
      </c>
      <c r="CD110">
        <v>2128</v>
      </c>
      <c r="CE110" t="s">
        <v>88</v>
      </c>
      <c r="CF110" s="3">
        <v>45957</v>
      </c>
      <c r="CI110">
        <v>1</v>
      </c>
      <c r="CJ110">
        <v>1</v>
      </c>
      <c r="CK110">
        <v>21</v>
      </c>
      <c r="CL110" t="s">
        <v>89</v>
      </c>
    </row>
    <row r="111" spans="1:90" x14ac:dyDescent="0.3">
      <c r="A111" t="s">
        <v>72</v>
      </c>
      <c r="B111" t="s">
        <v>73</v>
      </c>
      <c r="C111" t="s">
        <v>74</v>
      </c>
      <c r="E111" t="str">
        <f>"009943425156"</f>
        <v>009943425156</v>
      </c>
      <c r="F111" s="3">
        <v>45954</v>
      </c>
      <c r="G111">
        <v>202607</v>
      </c>
      <c r="H111" t="s">
        <v>79</v>
      </c>
      <c r="I111" t="s">
        <v>80</v>
      </c>
      <c r="J111" t="s">
        <v>90</v>
      </c>
      <c r="K111" t="s">
        <v>78</v>
      </c>
      <c r="L111" t="s">
        <v>75</v>
      </c>
      <c r="M111" t="s">
        <v>76</v>
      </c>
      <c r="N111" t="s">
        <v>513</v>
      </c>
      <c r="O111" t="s">
        <v>101</v>
      </c>
      <c r="P111" t="str">
        <f>"11942270FM 460040             "</f>
        <v xml:space="preserve">11942270FM 460040             </v>
      </c>
      <c r="Q111">
        <v>0</v>
      </c>
      <c r="R111">
        <v>0</v>
      </c>
      <c r="S111">
        <v>0</v>
      </c>
      <c r="T111">
        <v>0</v>
      </c>
      <c r="U111">
        <v>0</v>
      </c>
      <c r="V111">
        <v>0</v>
      </c>
      <c r="W111">
        <v>0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F111">
        <v>0</v>
      </c>
      <c r="AG111">
        <v>5.87</v>
      </c>
      <c r="AH111">
        <v>0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Q111">
        <v>43.23</v>
      </c>
      <c r="AR111">
        <v>0</v>
      </c>
      <c r="AS111">
        <v>0</v>
      </c>
      <c r="AT111">
        <v>0</v>
      </c>
      <c r="AU111">
        <v>0</v>
      </c>
      <c r="AV111">
        <v>0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  <c r="BC111">
        <v>0</v>
      </c>
      <c r="BD111">
        <v>0</v>
      </c>
      <c r="BE111">
        <v>0</v>
      </c>
      <c r="BF111">
        <v>0</v>
      </c>
      <c r="BG111">
        <v>0</v>
      </c>
      <c r="BH111">
        <v>1</v>
      </c>
      <c r="BI111">
        <v>1</v>
      </c>
      <c r="BJ111">
        <v>0.2</v>
      </c>
      <c r="BK111">
        <v>1</v>
      </c>
      <c r="BL111">
        <v>143.08000000000001</v>
      </c>
      <c r="BM111">
        <v>21.46</v>
      </c>
      <c r="BN111">
        <v>164.54</v>
      </c>
      <c r="BO111">
        <v>164.54</v>
      </c>
      <c r="BP111" t="s">
        <v>231</v>
      </c>
      <c r="BQ111" t="s">
        <v>514</v>
      </c>
      <c r="BR111" t="s">
        <v>515</v>
      </c>
      <c r="BS111" s="3">
        <v>45957</v>
      </c>
      <c r="BT111" s="4">
        <v>0.40138888888888891</v>
      </c>
      <c r="BU111" t="s">
        <v>516</v>
      </c>
      <c r="BV111" t="s">
        <v>86</v>
      </c>
      <c r="BY111">
        <v>1200</v>
      </c>
      <c r="BZ111" t="s">
        <v>105</v>
      </c>
      <c r="CA111" t="s">
        <v>517</v>
      </c>
      <c r="CC111" t="s">
        <v>76</v>
      </c>
      <c r="CD111">
        <v>4051</v>
      </c>
      <c r="CE111" t="s">
        <v>88</v>
      </c>
      <c r="CF111" s="3">
        <v>45958</v>
      </c>
      <c r="CI111">
        <v>1</v>
      </c>
      <c r="CJ111">
        <v>1</v>
      </c>
      <c r="CK111">
        <v>41</v>
      </c>
      <c r="CL111" t="s">
        <v>89</v>
      </c>
    </row>
    <row r="112" spans="1:90" x14ac:dyDescent="0.3">
      <c r="A112" t="s">
        <v>72</v>
      </c>
      <c r="B112" t="s">
        <v>73</v>
      </c>
      <c r="C112" t="s">
        <v>74</v>
      </c>
      <c r="E112" t="str">
        <f>"009945160148"</f>
        <v>009945160148</v>
      </c>
      <c r="F112" s="3">
        <v>45954</v>
      </c>
      <c r="G112">
        <v>202607</v>
      </c>
      <c r="H112" t="s">
        <v>79</v>
      </c>
      <c r="I112" t="s">
        <v>80</v>
      </c>
      <c r="J112" t="s">
        <v>90</v>
      </c>
      <c r="K112" t="s">
        <v>78</v>
      </c>
      <c r="L112" t="s">
        <v>187</v>
      </c>
      <c r="M112" t="s">
        <v>188</v>
      </c>
      <c r="N112" t="s">
        <v>189</v>
      </c>
      <c r="O112" t="s">
        <v>82</v>
      </c>
      <c r="P112" t="str">
        <f>"11005000BT 402190             "</f>
        <v xml:space="preserve">11005000BT 402190             </v>
      </c>
      <c r="Q112">
        <v>0</v>
      </c>
      <c r="R112">
        <v>0</v>
      </c>
      <c r="S112">
        <v>0</v>
      </c>
      <c r="T112">
        <v>0</v>
      </c>
      <c r="U112">
        <v>0</v>
      </c>
      <c r="V112">
        <v>0</v>
      </c>
      <c r="W112">
        <v>0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F112">
        <v>0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Q112">
        <v>55.86</v>
      </c>
      <c r="AR112">
        <v>0</v>
      </c>
      <c r="AS112">
        <v>0</v>
      </c>
      <c r="AT112">
        <v>0</v>
      </c>
      <c r="AU112">
        <v>0</v>
      </c>
      <c r="AV112">
        <v>0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  <c r="BC112">
        <v>0</v>
      </c>
      <c r="BD112">
        <v>0</v>
      </c>
      <c r="BE112">
        <v>0</v>
      </c>
      <c r="BF112">
        <v>0</v>
      </c>
      <c r="BG112">
        <v>0</v>
      </c>
      <c r="BH112">
        <v>1</v>
      </c>
      <c r="BI112">
        <v>3.5</v>
      </c>
      <c r="BJ112">
        <v>4.8</v>
      </c>
      <c r="BK112">
        <v>5</v>
      </c>
      <c r="BL112">
        <v>177.3</v>
      </c>
      <c r="BM112">
        <v>26.6</v>
      </c>
      <c r="BN112">
        <v>203.9</v>
      </c>
      <c r="BO112">
        <v>203.9</v>
      </c>
      <c r="BP112" t="s">
        <v>231</v>
      </c>
      <c r="BQ112" t="s">
        <v>518</v>
      </c>
      <c r="BR112" t="s">
        <v>191</v>
      </c>
      <c r="BS112" s="3">
        <v>45957</v>
      </c>
      <c r="BT112" s="4">
        <v>0.60972222222222228</v>
      </c>
      <c r="BU112" t="s">
        <v>385</v>
      </c>
      <c r="BV112" t="s">
        <v>89</v>
      </c>
      <c r="BW112" t="s">
        <v>496</v>
      </c>
      <c r="BX112" t="s">
        <v>519</v>
      </c>
      <c r="BY112">
        <v>24246.14</v>
      </c>
      <c r="BZ112" t="s">
        <v>87</v>
      </c>
      <c r="CA112" t="s">
        <v>287</v>
      </c>
      <c r="CC112" t="s">
        <v>188</v>
      </c>
      <c r="CD112">
        <v>3610</v>
      </c>
      <c r="CE112" t="s">
        <v>88</v>
      </c>
      <c r="CF112" s="3">
        <v>45958</v>
      </c>
      <c r="CI112">
        <v>1</v>
      </c>
      <c r="CJ112">
        <v>1</v>
      </c>
      <c r="CK112">
        <v>21</v>
      </c>
      <c r="CL112" t="s">
        <v>89</v>
      </c>
    </row>
    <row r="113" spans="1:91" x14ac:dyDescent="0.3">
      <c r="A113" t="s">
        <v>72</v>
      </c>
      <c r="B113" t="s">
        <v>73</v>
      </c>
      <c r="C113" t="s">
        <v>74</v>
      </c>
      <c r="E113" t="str">
        <f>"009943425366"</f>
        <v>009943425366</v>
      </c>
      <c r="F113" s="3">
        <v>45954</v>
      </c>
      <c r="G113">
        <v>202607</v>
      </c>
      <c r="H113" t="s">
        <v>79</v>
      </c>
      <c r="I113" t="s">
        <v>80</v>
      </c>
      <c r="J113" t="s">
        <v>90</v>
      </c>
      <c r="K113" t="s">
        <v>78</v>
      </c>
      <c r="L113" t="s">
        <v>75</v>
      </c>
      <c r="M113" t="s">
        <v>76</v>
      </c>
      <c r="N113" t="s">
        <v>520</v>
      </c>
      <c r="O113" t="s">
        <v>82</v>
      </c>
      <c r="P113" t="str">
        <f>"11116561PC 402190             "</f>
        <v xml:space="preserve">11116561PC 402190             </v>
      </c>
      <c r="Q113">
        <v>0</v>
      </c>
      <c r="R113">
        <v>0</v>
      </c>
      <c r="S113">
        <v>0</v>
      </c>
      <c r="T113">
        <v>0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F113">
        <v>0</v>
      </c>
      <c r="AG113">
        <v>0</v>
      </c>
      <c r="AH113">
        <v>0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Q113">
        <v>22.36</v>
      </c>
      <c r="AR113">
        <v>0</v>
      </c>
      <c r="AS113">
        <v>0</v>
      </c>
      <c r="AT113">
        <v>0</v>
      </c>
      <c r="AU113">
        <v>0</v>
      </c>
      <c r="AV113">
        <v>0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  <c r="BC113">
        <v>0</v>
      </c>
      <c r="BD113">
        <v>0</v>
      </c>
      <c r="BE113">
        <v>0</v>
      </c>
      <c r="BF113">
        <v>0</v>
      </c>
      <c r="BG113">
        <v>0</v>
      </c>
      <c r="BH113">
        <v>1</v>
      </c>
      <c r="BI113">
        <v>0.2</v>
      </c>
      <c r="BJ113">
        <v>1.9</v>
      </c>
      <c r="BK113">
        <v>2</v>
      </c>
      <c r="BL113">
        <v>70.959999999999994</v>
      </c>
      <c r="BM113">
        <v>10.64</v>
      </c>
      <c r="BN113">
        <v>81.599999999999994</v>
      </c>
      <c r="BO113">
        <v>81.599999999999994</v>
      </c>
      <c r="BP113" t="s">
        <v>209</v>
      </c>
      <c r="BQ113" t="s">
        <v>521</v>
      </c>
      <c r="BR113" t="s">
        <v>298</v>
      </c>
      <c r="BS113" s="3">
        <v>45957</v>
      </c>
      <c r="BT113" s="4">
        <v>0.60416666666666663</v>
      </c>
      <c r="BU113" t="s">
        <v>236</v>
      </c>
      <c r="BV113" t="s">
        <v>89</v>
      </c>
      <c r="BW113" t="s">
        <v>132</v>
      </c>
      <c r="BX113" t="s">
        <v>237</v>
      </c>
      <c r="BY113">
        <v>9740.64</v>
      </c>
      <c r="BZ113" t="s">
        <v>87</v>
      </c>
      <c r="CA113" t="s">
        <v>238</v>
      </c>
      <c r="CC113" t="s">
        <v>76</v>
      </c>
      <c r="CD113">
        <v>4052</v>
      </c>
      <c r="CE113" t="s">
        <v>88</v>
      </c>
      <c r="CF113" s="3">
        <v>45957</v>
      </c>
      <c r="CI113">
        <v>1</v>
      </c>
      <c r="CJ113">
        <v>1</v>
      </c>
      <c r="CK113">
        <v>21</v>
      </c>
      <c r="CL113" t="s">
        <v>89</v>
      </c>
    </row>
    <row r="114" spans="1:91" x14ac:dyDescent="0.3">
      <c r="A114" t="s">
        <v>72</v>
      </c>
      <c r="B114" t="s">
        <v>73</v>
      </c>
      <c r="C114" t="s">
        <v>74</v>
      </c>
      <c r="E114" t="str">
        <f>"009945162282"</f>
        <v>009945162282</v>
      </c>
      <c r="F114" s="3">
        <v>45954</v>
      </c>
      <c r="G114">
        <v>202607</v>
      </c>
      <c r="H114" t="s">
        <v>79</v>
      </c>
      <c r="I114" t="s">
        <v>80</v>
      </c>
      <c r="J114" t="s">
        <v>90</v>
      </c>
      <c r="K114" t="s">
        <v>78</v>
      </c>
      <c r="L114" t="s">
        <v>96</v>
      </c>
      <c r="M114" t="s">
        <v>97</v>
      </c>
      <c r="N114" t="s">
        <v>522</v>
      </c>
      <c r="O114" t="s">
        <v>82</v>
      </c>
      <c r="P114" t="str">
        <f>"18352432FS 460040             "</f>
        <v xml:space="preserve">18352432FS 460040             </v>
      </c>
      <c r="Q114">
        <v>0</v>
      </c>
      <c r="R114">
        <v>0</v>
      </c>
      <c r="S114">
        <v>0</v>
      </c>
      <c r="T114">
        <v>0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  <c r="AH114">
        <v>0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Q114">
        <v>22.36</v>
      </c>
      <c r="AR114">
        <v>0</v>
      </c>
      <c r="AS114">
        <v>0</v>
      </c>
      <c r="AT114">
        <v>0</v>
      </c>
      <c r="AU114">
        <v>0</v>
      </c>
      <c r="AV114">
        <v>0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  <c r="BC114">
        <v>0</v>
      </c>
      <c r="BD114">
        <v>0</v>
      </c>
      <c r="BE114">
        <v>0</v>
      </c>
      <c r="BF114">
        <v>0</v>
      </c>
      <c r="BG114">
        <v>0</v>
      </c>
      <c r="BH114">
        <v>1</v>
      </c>
      <c r="BI114">
        <v>1</v>
      </c>
      <c r="BJ114">
        <v>0.1</v>
      </c>
      <c r="BK114">
        <v>1</v>
      </c>
      <c r="BL114">
        <v>70.959999999999994</v>
      </c>
      <c r="BM114">
        <v>10.64</v>
      </c>
      <c r="BN114">
        <v>81.599999999999994</v>
      </c>
      <c r="BO114">
        <v>81.599999999999994</v>
      </c>
      <c r="BP114" t="s">
        <v>209</v>
      </c>
      <c r="BQ114" t="s">
        <v>523</v>
      </c>
      <c r="BR114" t="s">
        <v>404</v>
      </c>
      <c r="BS114" s="3">
        <v>45957</v>
      </c>
      <c r="BT114" s="4">
        <v>0.58333333333333337</v>
      </c>
      <c r="BU114" t="s">
        <v>524</v>
      </c>
      <c r="BV114" t="s">
        <v>89</v>
      </c>
      <c r="BW114" t="s">
        <v>496</v>
      </c>
      <c r="BX114" t="s">
        <v>254</v>
      </c>
      <c r="BY114">
        <v>400</v>
      </c>
      <c r="BZ114" t="s">
        <v>87</v>
      </c>
      <c r="CA114" t="s">
        <v>115</v>
      </c>
      <c r="CC114" t="s">
        <v>97</v>
      </c>
      <c r="CD114">
        <v>8000</v>
      </c>
      <c r="CE114" t="s">
        <v>88</v>
      </c>
      <c r="CF114" s="3">
        <v>45958</v>
      </c>
      <c r="CI114">
        <v>1</v>
      </c>
      <c r="CJ114">
        <v>1</v>
      </c>
      <c r="CK114">
        <v>21</v>
      </c>
      <c r="CL114" t="s">
        <v>89</v>
      </c>
    </row>
    <row r="115" spans="1:91" x14ac:dyDescent="0.3">
      <c r="A115" t="s">
        <v>72</v>
      </c>
      <c r="B115" t="s">
        <v>73</v>
      </c>
      <c r="C115" t="s">
        <v>74</v>
      </c>
      <c r="E115" t="str">
        <f>"009944505576"</f>
        <v>009944505576</v>
      </c>
      <c r="F115" s="3">
        <v>45954</v>
      </c>
      <c r="G115">
        <v>202607</v>
      </c>
      <c r="H115" t="s">
        <v>79</v>
      </c>
      <c r="I115" t="s">
        <v>80</v>
      </c>
      <c r="J115" t="s">
        <v>90</v>
      </c>
      <c r="K115" t="s">
        <v>78</v>
      </c>
      <c r="L115" t="s">
        <v>96</v>
      </c>
      <c r="M115" t="s">
        <v>97</v>
      </c>
      <c r="N115" t="s">
        <v>457</v>
      </c>
      <c r="O115" t="s">
        <v>82</v>
      </c>
      <c r="P115" t="str">
        <f>"11005000BT 402190             "</f>
        <v xml:space="preserve">11005000BT 402190             </v>
      </c>
      <c r="Q115">
        <v>0</v>
      </c>
      <c r="R115">
        <v>0</v>
      </c>
      <c r="S115">
        <v>0</v>
      </c>
      <c r="T115">
        <v>0</v>
      </c>
      <c r="U115">
        <v>0</v>
      </c>
      <c r="V115">
        <v>0</v>
      </c>
      <c r="W115">
        <v>0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0</v>
      </c>
      <c r="AN115">
        <v>0</v>
      </c>
      <c r="AO115">
        <v>0</v>
      </c>
      <c r="AP115">
        <v>0</v>
      </c>
      <c r="AQ115">
        <v>22.36</v>
      </c>
      <c r="AR115">
        <v>0</v>
      </c>
      <c r="AS115">
        <v>0</v>
      </c>
      <c r="AT115">
        <v>0</v>
      </c>
      <c r="AU115">
        <v>0</v>
      </c>
      <c r="AV115">
        <v>0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  <c r="BC115">
        <v>0</v>
      </c>
      <c r="BD115">
        <v>0</v>
      </c>
      <c r="BE115">
        <v>0</v>
      </c>
      <c r="BF115">
        <v>0</v>
      </c>
      <c r="BG115">
        <v>0</v>
      </c>
      <c r="BH115">
        <v>1</v>
      </c>
      <c r="BI115">
        <v>1</v>
      </c>
      <c r="BJ115">
        <v>0.2</v>
      </c>
      <c r="BK115">
        <v>1</v>
      </c>
      <c r="BL115">
        <v>70.959999999999994</v>
      </c>
      <c r="BM115">
        <v>10.64</v>
      </c>
      <c r="BN115">
        <v>81.599999999999994</v>
      </c>
      <c r="BO115">
        <v>81.599999999999994</v>
      </c>
      <c r="BP115" t="s">
        <v>525</v>
      </c>
      <c r="BQ115" t="s">
        <v>526</v>
      </c>
      <c r="BR115" t="s">
        <v>319</v>
      </c>
      <c r="BS115" s="3">
        <v>45957</v>
      </c>
      <c r="BT115" s="4">
        <v>0.41666666666666669</v>
      </c>
      <c r="BU115" t="s">
        <v>216</v>
      </c>
      <c r="BV115" t="s">
        <v>86</v>
      </c>
      <c r="BY115">
        <v>1200</v>
      </c>
      <c r="BZ115" t="s">
        <v>87</v>
      </c>
      <c r="CC115" t="s">
        <v>97</v>
      </c>
      <c r="CD115">
        <v>8000</v>
      </c>
      <c r="CE115" t="s">
        <v>88</v>
      </c>
      <c r="CF115" s="3">
        <v>45958</v>
      </c>
      <c r="CI115">
        <v>1</v>
      </c>
      <c r="CJ115">
        <v>1</v>
      </c>
      <c r="CK115">
        <v>21</v>
      </c>
      <c r="CL115" t="s">
        <v>89</v>
      </c>
    </row>
    <row r="116" spans="1:91" x14ac:dyDescent="0.3">
      <c r="A116" t="s">
        <v>72</v>
      </c>
      <c r="B116" t="s">
        <v>73</v>
      </c>
      <c r="C116" t="s">
        <v>74</v>
      </c>
      <c r="E116" t="str">
        <f>"009943428954"</f>
        <v>009943428954</v>
      </c>
      <c r="F116" s="3">
        <v>45954</v>
      </c>
      <c r="G116">
        <v>202607</v>
      </c>
      <c r="H116" t="s">
        <v>79</v>
      </c>
      <c r="I116" t="s">
        <v>80</v>
      </c>
      <c r="J116" t="s">
        <v>90</v>
      </c>
      <c r="K116" t="s">
        <v>78</v>
      </c>
      <c r="L116" t="s">
        <v>302</v>
      </c>
      <c r="M116" t="s">
        <v>303</v>
      </c>
      <c r="N116" t="s">
        <v>304</v>
      </c>
      <c r="O116" t="s">
        <v>82</v>
      </c>
      <c r="P116" t="str">
        <f>"11902270FM 460040             "</f>
        <v xml:space="preserve">11902270FM 460040             </v>
      </c>
      <c r="Q116">
        <v>0</v>
      </c>
      <c r="R116">
        <v>0</v>
      </c>
      <c r="S116">
        <v>0</v>
      </c>
      <c r="T116">
        <v>0</v>
      </c>
      <c r="U116">
        <v>0</v>
      </c>
      <c r="V116">
        <v>0</v>
      </c>
      <c r="W116">
        <v>0</v>
      </c>
      <c r="X116">
        <v>0</v>
      </c>
      <c r="Y116">
        <v>0</v>
      </c>
      <c r="Z116">
        <v>0</v>
      </c>
      <c r="AA116">
        <v>0</v>
      </c>
      <c r="AB116">
        <v>0</v>
      </c>
      <c r="AC116">
        <v>0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0</v>
      </c>
      <c r="AN116">
        <v>0</v>
      </c>
      <c r="AO116">
        <v>0</v>
      </c>
      <c r="AP116">
        <v>0</v>
      </c>
      <c r="AQ116">
        <v>22.36</v>
      </c>
      <c r="AR116">
        <v>0</v>
      </c>
      <c r="AS116">
        <v>0</v>
      </c>
      <c r="AT116">
        <v>0</v>
      </c>
      <c r="AU116">
        <v>0</v>
      </c>
      <c r="AV116">
        <v>0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  <c r="BC116">
        <v>0</v>
      </c>
      <c r="BD116">
        <v>0</v>
      </c>
      <c r="BE116">
        <v>0</v>
      </c>
      <c r="BF116">
        <v>0</v>
      </c>
      <c r="BG116">
        <v>0</v>
      </c>
      <c r="BH116">
        <v>1</v>
      </c>
      <c r="BI116">
        <v>1</v>
      </c>
      <c r="BJ116">
        <v>0.2</v>
      </c>
      <c r="BK116">
        <v>1</v>
      </c>
      <c r="BL116">
        <v>70.959999999999994</v>
      </c>
      <c r="BM116">
        <v>10.64</v>
      </c>
      <c r="BN116">
        <v>81.599999999999994</v>
      </c>
      <c r="BO116">
        <v>81.599999999999994</v>
      </c>
      <c r="BP116" t="s">
        <v>209</v>
      </c>
      <c r="BQ116" t="s">
        <v>527</v>
      </c>
      <c r="BR116" t="s">
        <v>528</v>
      </c>
      <c r="BS116" s="3">
        <v>45957</v>
      </c>
      <c r="BT116" s="4">
        <v>0.46041666666666664</v>
      </c>
      <c r="BU116" t="s">
        <v>529</v>
      </c>
      <c r="BV116" t="s">
        <v>89</v>
      </c>
      <c r="BW116" t="s">
        <v>455</v>
      </c>
      <c r="BX116" t="s">
        <v>530</v>
      </c>
      <c r="BY116">
        <v>1200</v>
      </c>
      <c r="BZ116" t="s">
        <v>87</v>
      </c>
      <c r="CA116" t="s">
        <v>307</v>
      </c>
      <c r="CC116" t="s">
        <v>303</v>
      </c>
      <c r="CD116">
        <v>9301</v>
      </c>
      <c r="CE116" t="s">
        <v>88</v>
      </c>
      <c r="CF116" s="3">
        <v>45958</v>
      </c>
      <c r="CI116">
        <v>1</v>
      </c>
      <c r="CJ116">
        <v>1</v>
      </c>
      <c r="CK116">
        <v>21</v>
      </c>
      <c r="CL116" t="s">
        <v>89</v>
      </c>
    </row>
    <row r="117" spans="1:91" x14ac:dyDescent="0.3">
      <c r="A117" t="s">
        <v>72</v>
      </c>
      <c r="B117" t="s">
        <v>73</v>
      </c>
      <c r="C117" t="s">
        <v>74</v>
      </c>
      <c r="E117" t="str">
        <f>"009943428953"</f>
        <v>009943428953</v>
      </c>
      <c r="F117" s="3">
        <v>45954</v>
      </c>
      <c r="G117">
        <v>202607</v>
      </c>
      <c r="H117" t="s">
        <v>79</v>
      </c>
      <c r="I117" t="s">
        <v>80</v>
      </c>
      <c r="J117" t="s">
        <v>90</v>
      </c>
      <c r="K117" t="s">
        <v>78</v>
      </c>
      <c r="L117" t="s">
        <v>302</v>
      </c>
      <c r="M117" t="s">
        <v>303</v>
      </c>
      <c r="N117" t="s">
        <v>304</v>
      </c>
      <c r="O117" t="s">
        <v>82</v>
      </c>
      <c r="P117" t="str">
        <f>"119027FM 460040               "</f>
        <v xml:space="preserve">119027FM 460040               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>
        <v>0</v>
      </c>
      <c r="X117">
        <v>0</v>
      </c>
      <c r="Y117">
        <v>0</v>
      </c>
      <c r="Z117">
        <v>0</v>
      </c>
      <c r="AA117">
        <v>0</v>
      </c>
      <c r="AB117">
        <v>0</v>
      </c>
      <c r="AC117">
        <v>0</v>
      </c>
      <c r="AD117">
        <v>0</v>
      </c>
      <c r="AE117">
        <v>0</v>
      </c>
      <c r="AF117">
        <v>0</v>
      </c>
      <c r="AG117">
        <v>0</v>
      </c>
      <c r="AH117">
        <v>0</v>
      </c>
      <c r="AI117">
        <v>0</v>
      </c>
      <c r="AJ117">
        <v>0</v>
      </c>
      <c r="AK117">
        <v>0</v>
      </c>
      <c r="AL117">
        <v>0</v>
      </c>
      <c r="AM117">
        <v>0</v>
      </c>
      <c r="AN117">
        <v>0</v>
      </c>
      <c r="AO117">
        <v>0</v>
      </c>
      <c r="AP117">
        <v>0</v>
      </c>
      <c r="AQ117">
        <v>22.36</v>
      </c>
      <c r="AR117">
        <v>0</v>
      </c>
      <c r="AS117">
        <v>0</v>
      </c>
      <c r="AT117">
        <v>0</v>
      </c>
      <c r="AU117">
        <v>0</v>
      </c>
      <c r="AV117">
        <v>0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  <c r="BC117">
        <v>0</v>
      </c>
      <c r="BD117">
        <v>0</v>
      </c>
      <c r="BE117">
        <v>0</v>
      </c>
      <c r="BF117">
        <v>0</v>
      </c>
      <c r="BG117">
        <v>0</v>
      </c>
      <c r="BH117">
        <v>1</v>
      </c>
      <c r="BI117">
        <v>1</v>
      </c>
      <c r="BJ117">
        <v>0.2</v>
      </c>
      <c r="BK117">
        <v>1</v>
      </c>
      <c r="BL117">
        <v>70.959999999999994</v>
      </c>
      <c r="BM117">
        <v>10.64</v>
      </c>
      <c r="BN117">
        <v>81.599999999999994</v>
      </c>
      <c r="BO117">
        <v>81.599999999999994</v>
      </c>
      <c r="BP117" t="s">
        <v>209</v>
      </c>
      <c r="BQ117" t="s">
        <v>531</v>
      </c>
      <c r="BR117" t="s">
        <v>532</v>
      </c>
      <c r="BS117" s="3">
        <v>45957</v>
      </c>
      <c r="BT117" s="4">
        <v>0.46111111111111114</v>
      </c>
      <c r="BU117" t="s">
        <v>529</v>
      </c>
      <c r="BV117" t="s">
        <v>89</v>
      </c>
      <c r="BW117" t="s">
        <v>455</v>
      </c>
      <c r="BX117" t="s">
        <v>530</v>
      </c>
      <c r="BY117">
        <v>1200</v>
      </c>
      <c r="BZ117" t="s">
        <v>87</v>
      </c>
      <c r="CA117" t="s">
        <v>307</v>
      </c>
      <c r="CC117" t="s">
        <v>303</v>
      </c>
      <c r="CD117">
        <v>9301</v>
      </c>
      <c r="CE117" t="s">
        <v>88</v>
      </c>
      <c r="CF117" s="3">
        <v>45958</v>
      </c>
      <c r="CI117">
        <v>1</v>
      </c>
      <c r="CJ117">
        <v>1</v>
      </c>
      <c r="CK117">
        <v>21</v>
      </c>
      <c r="CL117" t="s">
        <v>89</v>
      </c>
    </row>
    <row r="118" spans="1:91" x14ac:dyDescent="0.3">
      <c r="A118" t="s">
        <v>72</v>
      </c>
      <c r="B118" t="s">
        <v>73</v>
      </c>
      <c r="C118" t="s">
        <v>74</v>
      </c>
      <c r="E118" t="str">
        <f>"009943425367"</f>
        <v>009943425367</v>
      </c>
      <c r="F118" s="3">
        <v>45953</v>
      </c>
      <c r="G118">
        <v>202607</v>
      </c>
      <c r="H118" t="s">
        <v>79</v>
      </c>
      <c r="I118" t="s">
        <v>80</v>
      </c>
      <c r="J118" t="s">
        <v>90</v>
      </c>
      <c r="K118" t="s">
        <v>78</v>
      </c>
      <c r="L118" t="s">
        <v>96</v>
      </c>
      <c r="M118" t="s">
        <v>97</v>
      </c>
      <c r="N118" t="s">
        <v>533</v>
      </c>
      <c r="O118" t="s">
        <v>82</v>
      </c>
      <c r="P118" t="str">
        <f>"NA                            "</f>
        <v xml:space="preserve">NA                            </v>
      </c>
      <c r="Q118">
        <v>0</v>
      </c>
      <c r="R118">
        <v>0</v>
      </c>
      <c r="S118">
        <v>0</v>
      </c>
      <c r="T118">
        <v>0</v>
      </c>
      <c r="U118">
        <v>0</v>
      </c>
      <c r="V118">
        <v>0</v>
      </c>
      <c r="W118">
        <v>0</v>
      </c>
      <c r="X118">
        <v>0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0</v>
      </c>
      <c r="AE118">
        <v>0</v>
      </c>
      <c r="AF118">
        <v>0</v>
      </c>
      <c r="AG118">
        <v>0</v>
      </c>
      <c r="AH118">
        <v>0</v>
      </c>
      <c r="AI118">
        <v>0</v>
      </c>
      <c r="AJ118">
        <v>0</v>
      </c>
      <c r="AK118">
        <v>0</v>
      </c>
      <c r="AL118">
        <v>0</v>
      </c>
      <c r="AM118">
        <v>0</v>
      </c>
      <c r="AN118">
        <v>0</v>
      </c>
      <c r="AO118">
        <v>0</v>
      </c>
      <c r="AP118">
        <v>0</v>
      </c>
      <c r="AQ118">
        <v>55.86</v>
      </c>
      <c r="AR118">
        <v>0</v>
      </c>
      <c r="AS118">
        <v>0</v>
      </c>
      <c r="AT118">
        <v>0</v>
      </c>
      <c r="AU118">
        <v>0</v>
      </c>
      <c r="AV118">
        <v>0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  <c r="BC118">
        <v>0</v>
      </c>
      <c r="BD118">
        <v>0</v>
      </c>
      <c r="BE118">
        <v>0</v>
      </c>
      <c r="BF118">
        <v>0</v>
      </c>
      <c r="BG118">
        <v>0</v>
      </c>
      <c r="BH118">
        <v>1</v>
      </c>
      <c r="BI118">
        <v>3</v>
      </c>
      <c r="BJ118">
        <v>4.8</v>
      </c>
      <c r="BK118">
        <v>5</v>
      </c>
      <c r="BL118">
        <v>177.3</v>
      </c>
      <c r="BM118">
        <v>26.6</v>
      </c>
      <c r="BN118">
        <v>203.9</v>
      </c>
      <c r="BO118">
        <v>203.9</v>
      </c>
      <c r="BP118" t="s">
        <v>534</v>
      </c>
      <c r="BQ118" t="s">
        <v>535</v>
      </c>
      <c r="BR118" t="s">
        <v>536</v>
      </c>
      <c r="BS118" s="3">
        <v>45954</v>
      </c>
      <c r="BT118" s="4">
        <v>0.4236111111111111</v>
      </c>
      <c r="BU118" t="s">
        <v>537</v>
      </c>
      <c r="BV118" t="s">
        <v>86</v>
      </c>
      <c r="BY118">
        <v>24000</v>
      </c>
      <c r="BZ118" t="s">
        <v>538</v>
      </c>
      <c r="CA118" t="s">
        <v>355</v>
      </c>
      <c r="CC118" t="s">
        <v>97</v>
      </c>
      <c r="CD118">
        <v>8000</v>
      </c>
      <c r="CE118" t="s">
        <v>88</v>
      </c>
      <c r="CF118" s="3">
        <v>45957</v>
      </c>
      <c r="CI118">
        <v>1</v>
      </c>
      <c r="CJ118">
        <v>1</v>
      </c>
      <c r="CK118">
        <v>21</v>
      </c>
      <c r="CL118" t="s">
        <v>89</v>
      </c>
    </row>
    <row r="119" spans="1:91" x14ac:dyDescent="0.3">
      <c r="A119" t="s">
        <v>72</v>
      </c>
      <c r="B119" t="s">
        <v>73</v>
      </c>
      <c r="C119" t="s">
        <v>74</v>
      </c>
      <c r="E119" t="str">
        <f>"009943054760"</f>
        <v>009943054760</v>
      </c>
      <c r="F119" s="3">
        <v>45954</v>
      </c>
      <c r="G119">
        <v>202607</v>
      </c>
      <c r="H119" t="s">
        <v>79</v>
      </c>
      <c r="I119" t="s">
        <v>80</v>
      </c>
      <c r="J119" t="s">
        <v>422</v>
      </c>
      <c r="K119" t="s">
        <v>78</v>
      </c>
      <c r="L119" t="s">
        <v>75</v>
      </c>
      <c r="M119" t="s">
        <v>76</v>
      </c>
      <c r="N119" t="s">
        <v>276</v>
      </c>
      <c r="O119" t="s">
        <v>82</v>
      </c>
      <c r="P119" t="str">
        <f>"11116561PC 402190             "</f>
        <v xml:space="preserve">11116561PC 402190             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0</v>
      </c>
      <c r="AE119">
        <v>0</v>
      </c>
      <c r="AF119">
        <v>0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0</v>
      </c>
      <c r="AN119">
        <v>0</v>
      </c>
      <c r="AO119">
        <v>0</v>
      </c>
      <c r="AP119">
        <v>0</v>
      </c>
      <c r="AQ119">
        <v>27.94</v>
      </c>
      <c r="AR119">
        <v>0</v>
      </c>
      <c r="AS119">
        <v>0</v>
      </c>
      <c r="AT119">
        <v>0</v>
      </c>
      <c r="AU119">
        <v>0</v>
      </c>
      <c r="AV119">
        <v>0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  <c r="BC119">
        <v>0</v>
      </c>
      <c r="BD119">
        <v>0</v>
      </c>
      <c r="BE119">
        <v>0</v>
      </c>
      <c r="BF119">
        <v>0</v>
      </c>
      <c r="BG119">
        <v>0</v>
      </c>
      <c r="BH119">
        <v>1</v>
      </c>
      <c r="BI119">
        <v>1</v>
      </c>
      <c r="BJ119">
        <v>2.4</v>
      </c>
      <c r="BK119">
        <v>2.5</v>
      </c>
      <c r="BL119">
        <v>88.68</v>
      </c>
      <c r="BM119">
        <v>13.3</v>
      </c>
      <c r="BN119">
        <v>101.98</v>
      </c>
      <c r="BO119">
        <v>101.98</v>
      </c>
      <c r="BP119" t="s">
        <v>209</v>
      </c>
      <c r="BQ119" t="s">
        <v>539</v>
      </c>
      <c r="BR119" t="s">
        <v>298</v>
      </c>
      <c r="BS119" s="3">
        <v>45957</v>
      </c>
      <c r="BT119" s="4">
        <v>0.37152777777777779</v>
      </c>
      <c r="BU119" t="s">
        <v>278</v>
      </c>
      <c r="BV119" t="s">
        <v>86</v>
      </c>
      <c r="BY119">
        <v>12000</v>
      </c>
      <c r="BZ119" t="s">
        <v>87</v>
      </c>
      <c r="CA119" t="s">
        <v>95</v>
      </c>
      <c r="CC119" t="s">
        <v>76</v>
      </c>
      <c r="CD119">
        <v>4000</v>
      </c>
      <c r="CE119" t="s">
        <v>88</v>
      </c>
      <c r="CF119" s="3">
        <v>45958</v>
      </c>
      <c r="CI119">
        <v>1</v>
      </c>
      <c r="CJ119">
        <v>1</v>
      </c>
      <c r="CK119">
        <v>21</v>
      </c>
      <c r="CL119" t="s">
        <v>89</v>
      </c>
    </row>
    <row r="120" spans="1:91" x14ac:dyDescent="0.3">
      <c r="A120" t="s">
        <v>72</v>
      </c>
      <c r="B120" t="s">
        <v>73</v>
      </c>
      <c r="C120" t="s">
        <v>74</v>
      </c>
      <c r="E120" t="str">
        <f>"080011658944"</f>
        <v>080011658944</v>
      </c>
      <c r="F120" s="3">
        <v>45957</v>
      </c>
      <c r="G120">
        <v>202607</v>
      </c>
      <c r="H120" t="s">
        <v>126</v>
      </c>
      <c r="I120" t="s">
        <v>127</v>
      </c>
      <c r="J120" t="s">
        <v>246</v>
      </c>
      <c r="K120" t="s">
        <v>78</v>
      </c>
      <c r="L120" t="s">
        <v>79</v>
      </c>
      <c r="M120" t="s">
        <v>80</v>
      </c>
      <c r="N120" t="s">
        <v>328</v>
      </c>
      <c r="O120" t="s">
        <v>101</v>
      </c>
      <c r="P120" t="str">
        <f>"-                             "</f>
        <v xml:space="preserve">-                             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0</v>
      </c>
      <c r="AE120">
        <v>0</v>
      </c>
      <c r="AF120">
        <v>0</v>
      </c>
      <c r="AG120">
        <v>5.87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0</v>
      </c>
      <c r="AN120">
        <v>0</v>
      </c>
      <c r="AO120">
        <v>0</v>
      </c>
      <c r="AP120">
        <v>0</v>
      </c>
      <c r="AQ120">
        <v>269.89999999999998</v>
      </c>
      <c r="AR120">
        <v>0</v>
      </c>
      <c r="AS120">
        <v>0</v>
      </c>
      <c r="AT120">
        <v>0</v>
      </c>
      <c r="AU120">
        <v>0</v>
      </c>
      <c r="AV120">
        <v>0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  <c r="BC120">
        <v>0</v>
      </c>
      <c r="BD120">
        <v>0</v>
      </c>
      <c r="BE120">
        <v>0</v>
      </c>
      <c r="BF120">
        <v>0</v>
      </c>
      <c r="BG120">
        <v>0</v>
      </c>
      <c r="BH120">
        <v>7</v>
      </c>
      <c r="BI120">
        <v>140</v>
      </c>
      <c r="BJ120">
        <v>141.80000000000001</v>
      </c>
      <c r="BK120">
        <v>142</v>
      </c>
      <c r="BL120">
        <v>862.51</v>
      </c>
      <c r="BM120">
        <v>129.38</v>
      </c>
      <c r="BN120">
        <v>991.89</v>
      </c>
      <c r="BO120">
        <v>991.89</v>
      </c>
      <c r="BQ120" t="s">
        <v>329</v>
      </c>
      <c r="BR120" t="s">
        <v>249</v>
      </c>
      <c r="BS120" t="s">
        <v>540</v>
      </c>
      <c r="BY120">
        <v>101250</v>
      </c>
      <c r="BZ120" t="s">
        <v>105</v>
      </c>
      <c r="CC120" t="s">
        <v>80</v>
      </c>
      <c r="CD120">
        <v>2192</v>
      </c>
      <c r="CE120" t="s">
        <v>88</v>
      </c>
      <c r="CI120">
        <v>3</v>
      </c>
      <c r="CJ120" t="s">
        <v>540</v>
      </c>
      <c r="CK120">
        <v>41</v>
      </c>
      <c r="CL120" t="s">
        <v>89</v>
      </c>
    </row>
    <row r="121" spans="1:91" x14ac:dyDescent="0.3">
      <c r="A121" t="s">
        <v>72</v>
      </c>
      <c r="B121" t="s">
        <v>73</v>
      </c>
      <c r="C121" t="s">
        <v>74</v>
      </c>
      <c r="E121" t="str">
        <f>"009944622553"</f>
        <v>009944622553</v>
      </c>
      <c r="F121" s="3">
        <v>45957</v>
      </c>
      <c r="G121">
        <v>202607</v>
      </c>
      <c r="H121" t="s">
        <v>75</v>
      </c>
      <c r="I121" t="s">
        <v>76</v>
      </c>
      <c r="J121" t="s">
        <v>339</v>
      </c>
      <c r="K121" t="s">
        <v>78</v>
      </c>
      <c r="L121" t="s">
        <v>79</v>
      </c>
      <c r="M121" t="s">
        <v>80</v>
      </c>
      <c r="N121" t="s">
        <v>363</v>
      </c>
      <c r="O121" t="s">
        <v>82</v>
      </c>
      <c r="P121" t="str">
        <f>"                              "</f>
        <v xml:space="preserve">                              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0</v>
      </c>
      <c r="X121">
        <v>0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0</v>
      </c>
      <c r="AE121">
        <v>0</v>
      </c>
      <c r="AF121">
        <v>0</v>
      </c>
      <c r="AG121">
        <v>0</v>
      </c>
      <c r="AH121">
        <v>0</v>
      </c>
      <c r="AI121">
        <v>0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0</v>
      </c>
      <c r="AP121">
        <v>0</v>
      </c>
      <c r="AQ121">
        <v>22.36</v>
      </c>
      <c r="AR121">
        <v>0</v>
      </c>
      <c r="AS121">
        <v>0</v>
      </c>
      <c r="AT121">
        <v>0</v>
      </c>
      <c r="AU121">
        <v>0</v>
      </c>
      <c r="AV121">
        <v>0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  <c r="BC121">
        <v>0</v>
      </c>
      <c r="BD121">
        <v>0</v>
      </c>
      <c r="BE121">
        <v>0</v>
      </c>
      <c r="BF121">
        <v>0</v>
      </c>
      <c r="BG121">
        <v>0</v>
      </c>
      <c r="BH121">
        <v>1</v>
      </c>
      <c r="BI121">
        <v>1</v>
      </c>
      <c r="BJ121">
        <v>0.2</v>
      </c>
      <c r="BK121">
        <v>1</v>
      </c>
      <c r="BL121">
        <v>70.959999999999994</v>
      </c>
      <c r="BM121">
        <v>10.64</v>
      </c>
      <c r="BN121">
        <v>81.599999999999994</v>
      </c>
      <c r="BO121">
        <v>81.599999999999994</v>
      </c>
      <c r="BQ121" t="s">
        <v>510</v>
      </c>
      <c r="BR121" t="s">
        <v>341</v>
      </c>
      <c r="BS121" s="3">
        <v>45958</v>
      </c>
      <c r="BT121" s="4">
        <v>0.39513888888888887</v>
      </c>
      <c r="BU121" t="s">
        <v>296</v>
      </c>
      <c r="BV121" t="s">
        <v>86</v>
      </c>
      <c r="BY121">
        <v>1200</v>
      </c>
      <c r="BZ121" t="s">
        <v>87</v>
      </c>
      <c r="CA121" t="s">
        <v>512</v>
      </c>
      <c r="CC121" t="s">
        <v>80</v>
      </c>
      <c r="CD121">
        <v>2128</v>
      </c>
      <c r="CE121" t="s">
        <v>88</v>
      </c>
      <c r="CF121" s="3">
        <v>45959</v>
      </c>
      <c r="CI121">
        <v>1</v>
      </c>
      <c r="CJ121">
        <v>1</v>
      </c>
      <c r="CK121">
        <v>21</v>
      </c>
      <c r="CL121" t="s">
        <v>89</v>
      </c>
    </row>
    <row r="122" spans="1:91" x14ac:dyDescent="0.3">
      <c r="A122" t="s">
        <v>72</v>
      </c>
      <c r="B122" t="s">
        <v>73</v>
      </c>
      <c r="C122" t="s">
        <v>74</v>
      </c>
      <c r="E122" t="str">
        <f>"009944505577"</f>
        <v>009944505577</v>
      </c>
      <c r="F122" s="3">
        <v>45957</v>
      </c>
      <c r="G122">
        <v>202607</v>
      </c>
      <c r="H122" t="s">
        <v>79</v>
      </c>
      <c r="I122" t="s">
        <v>80</v>
      </c>
      <c r="J122" t="s">
        <v>90</v>
      </c>
      <c r="K122" t="s">
        <v>78</v>
      </c>
      <c r="L122" t="s">
        <v>96</v>
      </c>
      <c r="M122" t="s">
        <v>97</v>
      </c>
      <c r="N122" t="s">
        <v>214</v>
      </c>
      <c r="O122" t="s">
        <v>101</v>
      </c>
      <c r="P122" t="str">
        <f>"11005000BT 402190             "</f>
        <v xml:space="preserve">11005000BT 402190             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5.87</v>
      </c>
      <c r="AH122">
        <v>0</v>
      </c>
      <c r="AI122">
        <v>0</v>
      </c>
      <c r="AJ122">
        <v>0</v>
      </c>
      <c r="AK122">
        <v>0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75.36</v>
      </c>
      <c r="AR122">
        <v>0</v>
      </c>
      <c r="AS122">
        <v>0</v>
      </c>
      <c r="AT122">
        <v>0</v>
      </c>
      <c r="AU122">
        <v>0</v>
      </c>
      <c r="AV122">
        <v>0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  <c r="BC122">
        <v>0</v>
      </c>
      <c r="BD122">
        <v>0</v>
      </c>
      <c r="BE122">
        <v>0</v>
      </c>
      <c r="BF122">
        <v>0</v>
      </c>
      <c r="BG122">
        <v>0</v>
      </c>
      <c r="BH122">
        <v>4</v>
      </c>
      <c r="BI122">
        <v>24.7</v>
      </c>
      <c r="BJ122">
        <v>32.9</v>
      </c>
      <c r="BK122">
        <v>33</v>
      </c>
      <c r="BL122">
        <v>245.05</v>
      </c>
      <c r="BM122">
        <v>36.76</v>
      </c>
      <c r="BN122">
        <v>281.81</v>
      </c>
      <c r="BO122">
        <v>281.81</v>
      </c>
      <c r="BQ122" t="s">
        <v>365</v>
      </c>
      <c r="BR122" t="s">
        <v>434</v>
      </c>
      <c r="BS122" t="s">
        <v>540</v>
      </c>
      <c r="BY122">
        <v>164486.67000000001</v>
      </c>
      <c r="BZ122" t="s">
        <v>105</v>
      </c>
      <c r="CC122" t="s">
        <v>97</v>
      </c>
      <c r="CD122">
        <v>8001</v>
      </c>
      <c r="CE122" t="s">
        <v>88</v>
      </c>
      <c r="CI122">
        <v>3</v>
      </c>
      <c r="CJ122" t="s">
        <v>540</v>
      </c>
      <c r="CK122">
        <v>41</v>
      </c>
      <c r="CL122" t="s">
        <v>89</v>
      </c>
    </row>
    <row r="123" spans="1:91" x14ac:dyDescent="0.3">
      <c r="A123" t="s">
        <v>72</v>
      </c>
      <c r="B123" t="s">
        <v>73</v>
      </c>
      <c r="C123" t="s">
        <v>74</v>
      </c>
      <c r="E123" t="str">
        <f>"009945160147"</f>
        <v>009945160147</v>
      </c>
      <c r="F123" s="3">
        <v>45957</v>
      </c>
      <c r="G123">
        <v>202607</v>
      </c>
      <c r="H123" t="s">
        <v>79</v>
      </c>
      <c r="I123" t="s">
        <v>80</v>
      </c>
      <c r="J123" t="s">
        <v>90</v>
      </c>
      <c r="K123" t="s">
        <v>78</v>
      </c>
      <c r="L123" t="s">
        <v>187</v>
      </c>
      <c r="M123" t="s">
        <v>188</v>
      </c>
      <c r="N123" t="s">
        <v>189</v>
      </c>
      <c r="O123" t="s">
        <v>82</v>
      </c>
      <c r="P123" t="str">
        <f>"11116561PC 402190             "</f>
        <v xml:space="preserve">11116561PC 402190             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Q123">
        <v>22.36</v>
      </c>
      <c r="AR123">
        <v>0</v>
      </c>
      <c r="AS123">
        <v>0</v>
      </c>
      <c r="AT123">
        <v>0</v>
      </c>
      <c r="AU123">
        <v>0</v>
      </c>
      <c r="AV123">
        <v>0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  <c r="BC123">
        <v>0</v>
      </c>
      <c r="BD123">
        <v>0</v>
      </c>
      <c r="BE123">
        <v>0</v>
      </c>
      <c r="BF123">
        <v>0</v>
      </c>
      <c r="BG123">
        <v>0</v>
      </c>
      <c r="BH123">
        <v>1</v>
      </c>
      <c r="BI123">
        <v>1</v>
      </c>
      <c r="BJ123">
        <v>0.2</v>
      </c>
      <c r="BK123">
        <v>1</v>
      </c>
      <c r="BL123">
        <v>70.959999999999994</v>
      </c>
      <c r="BM123">
        <v>10.64</v>
      </c>
      <c r="BN123">
        <v>81.599999999999994</v>
      </c>
      <c r="BO123">
        <v>81.599999999999994</v>
      </c>
      <c r="BQ123" t="s">
        <v>275</v>
      </c>
      <c r="BR123" t="s">
        <v>298</v>
      </c>
      <c r="BS123" s="3">
        <v>45958</v>
      </c>
      <c r="BT123" s="4">
        <v>0.68194444444444446</v>
      </c>
      <c r="BU123" t="s">
        <v>541</v>
      </c>
      <c r="BV123" t="s">
        <v>89</v>
      </c>
      <c r="BW123" t="s">
        <v>132</v>
      </c>
      <c r="BX123" t="s">
        <v>406</v>
      </c>
      <c r="BY123">
        <v>1200</v>
      </c>
      <c r="BZ123" t="s">
        <v>87</v>
      </c>
      <c r="CA123" t="s">
        <v>287</v>
      </c>
      <c r="CC123" t="s">
        <v>188</v>
      </c>
      <c r="CD123">
        <v>3610</v>
      </c>
      <c r="CE123" t="s">
        <v>88</v>
      </c>
      <c r="CF123" s="3">
        <v>45959</v>
      </c>
      <c r="CI123">
        <v>1</v>
      </c>
      <c r="CJ123">
        <v>1</v>
      </c>
      <c r="CK123">
        <v>21</v>
      </c>
      <c r="CL123" t="s">
        <v>89</v>
      </c>
    </row>
    <row r="124" spans="1:91" x14ac:dyDescent="0.3">
      <c r="A124" t="s">
        <v>72</v>
      </c>
      <c r="B124" t="s">
        <v>73</v>
      </c>
      <c r="C124" t="s">
        <v>74</v>
      </c>
      <c r="E124" t="str">
        <f>"009943054872"</f>
        <v>009943054872</v>
      </c>
      <c r="F124" s="3">
        <v>45957</v>
      </c>
      <c r="G124">
        <v>202607</v>
      </c>
      <c r="H124" t="s">
        <v>79</v>
      </c>
      <c r="I124" t="s">
        <v>80</v>
      </c>
      <c r="J124" t="s">
        <v>90</v>
      </c>
      <c r="K124" t="s">
        <v>78</v>
      </c>
      <c r="L124" t="s">
        <v>260</v>
      </c>
      <c r="M124" t="s">
        <v>261</v>
      </c>
      <c r="N124" t="s">
        <v>262</v>
      </c>
      <c r="O124" t="s">
        <v>82</v>
      </c>
      <c r="P124" t="str">
        <f>"11116561PC 402190             "</f>
        <v xml:space="preserve">11116561PC 402190             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  <c r="Z124">
        <v>0</v>
      </c>
      <c r="AA124">
        <v>0</v>
      </c>
      <c r="AB124">
        <v>0</v>
      </c>
      <c r="AC124">
        <v>0</v>
      </c>
      <c r="AD124">
        <v>0</v>
      </c>
      <c r="AE124">
        <v>0</v>
      </c>
      <c r="AF124">
        <v>0</v>
      </c>
      <c r="AG124">
        <v>0</v>
      </c>
      <c r="AH124">
        <v>0</v>
      </c>
      <c r="AI124">
        <v>0</v>
      </c>
      <c r="AJ124">
        <v>0</v>
      </c>
      <c r="AK124">
        <v>0</v>
      </c>
      <c r="AL124">
        <v>0</v>
      </c>
      <c r="AM124">
        <v>0</v>
      </c>
      <c r="AN124">
        <v>0</v>
      </c>
      <c r="AO124">
        <v>0</v>
      </c>
      <c r="AP124">
        <v>0</v>
      </c>
      <c r="AQ124">
        <v>22.36</v>
      </c>
      <c r="AR124">
        <v>0</v>
      </c>
      <c r="AS124">
        <v>0</v>
      </c>
      <c r="AT124">
        <v>0</v>
      </c>
      <c r="AU124">
        <v>0</v>
      </c>
      <c r="AV124">
        <v>0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  <c r="BC124">
        <v>0</v>
      </c>
      <c r="BD124">
        <v>0</v>
      </c>
      <c r="BE124">
        <v>0</v>
      </c>
      <c r="BF124">
        <v>0</v>
      </c>
      <c r="BG124">
        <v>0</v>
      </c>
      <c r="BH124">
        <v>1</v>
      </c>
      <c r="BI124">
        <v>1</v>
      </c>
      <c r="BJ124">
        <v>0.2</v>
      </c>
      <c r="BK124">
        <v>1</v>
      </c>
      <c r="BL124">
        <v>70.959999999999994</v>
      </c>
      <c r="BM124">
        <v>10.64</v>
      </c>
      <c r="BN124">
        <v>81.599999999999994</v>
      </c>
      <c r="BO124">
        <v>81.599999999999994</v>
      </c>
      <c r="BQ124" t="s">
        <v>542</v>
      </c>
      <c r="BR124" t="s">
        <v>93</v>
      </c>
      <c r="BS124" s="3">
        <v>45958</v>
      </c>
      <c r="BT124" s="4">
        <v>0.38680555555555557</v>
      </c>
      <c r="BU124" t="s">
        <v>543</v>
      </c>
      <c r="BV124" t="s">
        <v>86</v>
      </c>
      <c r="BY124">
        <v>1200</v>
      </c>
      <c r="BZ124" t="s">
        <v>87</v>
      </c>
      <c r="CA124" t="s">
        <v>265</v>
      </c>
      <c r="CC124" t="s">
        <v>261</v>
      </c>
      <c r="CD124">
        <v>4302</v>
      </c>
      <c r="CE124" t="s">
        <v>88</v>
      </c>
      <c r="CF124" s="3">
        <v>45959</v>
      </c>
      <c r="CI124">
        <v>1</v>
      </c>
      <c r="CJ124">
        <v>1</v>
      </c>
      <c r="CK124">
        <v>21</v>
      </c>
      <c r="CL124" t="s">
        <v>89</v>
      </c>
    </row>
    <row r="125" spans="1:91" x14ac:dyDescent="0.3">
      <c r="A125" t="s">
        <v>72</v>
      </c>
      <c r="B125" t="s">
        <v>73</v>
      </c>
      <c r="C125" t="s">
        <v>74</v>
      </c>
      <c r="E125" t="str">
        <f>"009943054759"</f>
        <v>009943054759</v>
      </c>
      <c r="F125" s="3">
        <v>45957</v>
      </c>
      <c r="G125">
        <v>202607</v>
      </c>
      <c r="H125" t="s">
        <v>79</v>
      </c>
      <c r="I125" t="s">
        <v>80</v>
      </c>
      <c r="J125" t="s">
        <v>90</v>
      </c>
      <c r="K125" t="s">
        <v>78</v>
      </c>
      <c r="L125" t="s">
        <v>75</v>
      </c>
      <c r="M125" t="s">
        <v>76</v>
      </c>
      <c r="N125" t="s">
        <v>91</v>
      </c>
      <c r="O125" t="s">
        <v>82</v>
      </c>
      <c r="P125" t="str">
        <f>"11116561PC 402190             "</f>
        <v xml:space="preserve">11116561PC 402190             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  <c r="Z125">
        <v>0</v>
      </c>
      <c r="AA125">
        <v>0</v>
      </c>
      <c r="AB125">
        <v>0</v>
      </c>
      <c r="AC125">
        <v>0</v>
      </c>
      <c r="AD125">
        <v>0</v>
      </c>
      <c r="AE125">
        <v>0</v>
      </c>
      <c r="AF125">
        <v>0</v>
      </c>
      <c r="AG125">
        <v>0</v>
      </c>
      <c r="AH125">
        <v>0</v>
      </c>
      <c r="AI125">
        <v>0</v>
      </c>
      <c r="AJ125">
        <v>0</v>
      </c>
      <c r="AK125">
        <v>0</v>
      </c>
      <c r="AL125">
        <v>0</v>
      </c>
      <c r="AM125">
        <v>0</v>
      </c>
      <c r="AN125">
        <v>0</v>
      </c>
      <c r="AO125">
        <v>0</v>
      </c>
      <c r="AP125">
        <v>0</v>
      </c>
      <c r="AQ125">
        <v>22.36</v>
      </c>
      <c r="AR125">
        <v>0</v>
      </c>
      <c r="AS125">
        <v>0</v>
      </c>
      <c r="AT125">
        <v>0</v>
      </c>
      <c r="AU125">
        <v>0</v>
      </c>
      <c r="AV125">
        <v>0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  <c r="BC125">
        <v>0</v>
      </c>
      <c r="BD125">
        <v>0</v>
      </c>
      <c r="BE125">
        <v>0</v>
      </c>
      <c r="BF125">
        <v>0</v>
      </c>
      <c r="BG125">
        <v>0</v>
      </c>
      <c r="BH125">
        <v>1</v>
      </c>
      <c r="BI125">
        <v>1</v>
      </c>
      <c r="BJ125">
        <v>0.2</v>
      </c>
      <c r="BK125">
        <v>1</v>
      </c>
      <c r="BL125">
        <v>70.959999999999994</v>
      </c>
      <c r="BM125">
        <v>10.64</v>
      </c>
      <c r="BN125">
        <v>81.599999999999994</v>
      </c>
      <c r="BO125">
        <v>81.599999999999994</v>
      </c>
      <c r="BQ125" t="s">
        <v>92</v>
      </c>
      <c r="BR125" t="s">
        <v>93</v>
      </c>
      <c r="BS125" s="3">
        <v>45958</v>
      </c>
      <c r="BT125" s="4">
        <v>0.35694444444444445</v>
      </c>
      <c r="BU125" t="s">
        <v>278</v>
      </c>
      <c r="BV125" t="s">
        <v>86</v>
      </c>
      <c r="BY125">
        <v>1200</v>
      </c>
      <c r="BZ125" t="s">
        <v>87</v>
      </c>
      <c r="CA125" t="s">
        <v>95</v>
      </c>
      <c r="CC125" t="s">
        <v>76</v>
      </c>
      <c r="CD125">
        <v>4000</v>
      </c>
      <c r="CE125" t="s">
        <v>88</v>
      </c>
      <c r="CF125" s="3">
        <v>45959</v>
      </c>
      <c r="CI125">
        <v>1</v>
      </c>
      <c r="CJ125">
        <v>1</v>
      </c>
      <c r="CK125">
        <v>21</v>
      </c>
      <c r="CL125" t="s">
        <v>89</v>
      </c>
    </row>
    <row r="126" spans="1:91" x14ac:dyDescent="0.3">
      <c r="A126" t="s">
        <v>72</v>
      </c>
      <c r="B126" t="s">
        <v>73</v>
      </c>
      <c r="C126" t="s">
        <v>74</v>
      </c>
      <c r="E126" t="str">
        <f>"080011660090"</f>
        <v>080011660090</v>
      </c>
      <c r="F126" s="3">
        <v>45958</v>
      </c>
      <c r="G126">
        <v>202607</v>
      </c>
      <c r="H126" t="s">
        <v>79</v>
      </c>
      <c r="I126" t="s">
        <v>80</v>
      </c>
      <c r="J126" t="s">
        <v>544</v>
      </c>
      <c r="K126" t="s">
        <v>78</v>
      </c>
      <c r="L126" t="s">
        <v>96</v>
      </c>
      <c r="M126" t="s">
        <v>97</v>
      </c>
      <c r="N126" t="s">
        <v>143</v>
      </c>
      <c r="O126" t="s">
        <v>101</v>
      </c>
      <c r="P126" t="str">
        <f>"-                             "</f>
        <v xml:space="preserve">-                             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  <c r="Z126">
        <v>0</v>
      </c>
      <c r="AA126">
        <v>0</v>
      </c>
      <c r="AB126">
        <v>0</v>
      </c>
      <c r="AC126">
        <v>0</v>
      </c>
      <c r="AD126">
        <v>0</v>
      </c>
      <c r="AE126">
        <v>0</v>
      </c>
      <c r="AF126">
        <v>0</v>
      </c>
      <c r="AG126">
        <v>5.87</v>
      </c>
      <c r="AH126">
        <v>0</v>
      </c>
      <c r="AI126">
        <v>0</v>
      </c>
      <c r="AJ126">
        <v>0</v>
      </c>
      <c r="AK126">
        <v>0</v>
      </c>
      <c r="AL126">
        <v>0</v>
      </c>
      <c r="AM126">
        <v>0</v>
      </c>
      <c r="AN126">
        <v>0</v>
      </c>
      <c r="AO126">
        <v>0</v>
      </c>
      <c r="AP126">
        <v>0</v>
      </c>
      <c r="AQ126">
        <v>68.22</v>
      </c>
      <c r="AR126">
        <v>0</v>
      </c>
      <c r="AS126">
        <v>0</v>
      </c>
      <c r="AT126">
        <v>0</v>
      </c>
      <c r="AU126">
        <v>0</v>
      </c>
      <c r="AV126">
        <v>0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0</v>
      </c>
      <c r="BG126">
        <v>0</v>
      </c>
      <c r="BH126">
        <v>3</v>
      </c>
      <c r="BI126">
        <v>7.2</v>
      </c>
      <c r="BJ126">
        <v>28.7</v>
      </c>
      <c r="BK126">
        <v>29</v>
      </c>
      <c r="BL126">
        <v>222.39</v>
      </c>
      <c r="BM126">
        <v>33.36</v>
      </c>
      <c r="BN126">
        <v>255.75</v>
      </c>
      <c r="BO126">
        <v>255.75</v>
      </c>
      <c r="BQ126" t="s">
        <v>199</v>
      </c>
      <c r="BR126" t="s">
        <v>425</v>
      </c>
      <c r="BS126" s="3">
        <v>45960</v>
      </c>
      <c r="BT126" s="4">
        <v>0.44444444444444442</v>
      </c>
      <c r="BU126" t="s">
        <v>545</v>
      </c>
      <c r="BV126" t="s">
        <v>86</v>
      </c>
      <c r="BY126">
        <v>143646.24</v>
      </c>
      <c r="BZ126" t="s">
        <v>105</v>
      </c>
      <c r="CA126" t="s">
        <v>202</v>
      </c>
      <c r="CC126" t="s">
        <v>97</v>
      </c>
      <c r="CD126">
        <v>7824</v>
      </c>
      <c r="CE126" t="s">
        <v>88</v>
      </c>
      <c r="CI126">
        <v>3</v>
      </c>
      <c r="CJ126">
        <v>2</v>
      </c>
      <c r="CK126">
        <v>41</v>
      </c>
      <c r="CL126" t="s">
        <v>89</v>
      </c>
    </row>
    <row r="127" spans="1:91" x14ac:dyDescent="0.3">
      <c r="A127" t="s">
        <v>72</v>
      </c>
      <c r="B127" t="s">
        <v>73</v>
      </c>
      <c r="C127" t="s">
        <v>74</v>
      </c>
      <c r="E127" t="str">
        <f>"009944622555"</f>
        <v>009944622555</v>
      </c>
      <c r="F127" s="3">
        <v>45958</v>
      </c>
      <c r="G127">
        <v>202607</v>
      </c>
      <c r="H127" t="s">
        <v>75</v>
      </c>
      <c r="I127" t="s">
        <v>76</v>
      </c>
      <c r="J127" t="s">
        <v>339</v>
      </c>
      <c r="K127" t="s">
        <v>78</v>
      </c>
      <c r="L127" t="s">
        <v>79</v>
      </c>
      <c r="M127" t="s">
        <v>80</v>
      </c>
      <c r="N127" t="s">
        <v>363</v>
      </c>
      <c r="O127" t="s">
        <v>82</v>
      </c>
      <c r="P127" t="str">
        <f>"                              "</f>
        <v xml:space="preserve">                              </v>
      </c>
      <c r="Q127">
        <v>0</v>
      </c>
      <c r="R127">
        <v>0</v>
      </c>
      <c r="S127">
        <v>0</v>
      </c>
      <c r="T127">
        <v>0</v>
      </c>
      <c r="U127">
        <v>0</v>
      </c>
      <c r="V127">
        <v>0</v>
      </c>
      <c r="W127">
        <v>0</v>
      </c>
      <c r="X127">
        <v>0</v>
      </c>
      <c r="Y127">
        <v>0</v>
      </c>
      <c r="Z127">
        <v>0</v>
      </c>
      <c r="AA127">
        <v>0</v>
      </c>
      <c r="AB127">
        <v>0</v>
      </c>
      <c r="AC127">
        <v>0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  <c r="AM127">
        <v>0</v>
      </c>
      <c r="AN127">
        <v>0</v>
      </c>
      <c r="AO127">
        <v>0</v>
      </c>
      <c r="AP127">
        <v>0</v>
      </c>
      <c r="AQ127">
        <v>22.36</v>
      </c>
      <c r="AR127">
        <v>0</v>
      </c>
      <c r="AS127">
        <v>0</v>
      </c>
      <c r="AT127">
        <v>0</v>
      </c>
      <c r="AU127">
        <v>0</v>
      </c>
      <c r="AV127">
        <v>0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  <c r="BC127">
        <v>0</v>
      </c>
      <c r="BD127">
        <v>0</v>
      </c>
      <c r="BE127">
        <v>0</v>
      </c>
      <c r="BF127">
        <v>0</v>
      </c>
      <c r="BG127">
        <v>0</v>
      </c>
      <c r="BH127">
        <v>1</v>
      </c>
      <c r="BI127">
        <v>1</v>
      </c>
      <c r="BJ127">
        <v>0.2</v>
      </c>
      <c r="BK127">
        <v>1</v>
      </c>
      <c r="BL127">
        <v>70.959999999999994</v>
      </c>
      <c r="BM127">
        <v>10.64</v>
      </c>
      <c r="BN127">
        <v>81.599999999999994</v>
      </c>
      <c r="BO127">
        <v>81.599999999999994</v>
      </c>
      <c r="BQ127" t="s">
        <v>546</v>
      </c>
      <c r="BR127" t="s">
        <v>341</v>
      </c>
      <c r="BS127" s="3">
        <v>45959</v>
      </c>
      <c r="BT127" s="4">
        <v>0.37708333333333333</v>
      </c>
      <c r="BU127" t="s">
        <v>85</v>
      </c>
      <c r="BV127" t="s">
        <v>86</v>
      </c>
      <c r="BY127">
        <v>1200</v>
      </c>
      <c r="BZ127" t="s">
        <v>87</v>
      </c>
      <c r="CA127" t="s">
        <v>512</v>
      </c>
      <c r="CC127" t="s">
        <v>80</v>
      </c>
      <c r="CD127">
        <v>2021</v>
      </c>
      <c r="CE127" t="s">
        <v>88</v>
      </c>
      <c r="CF127" s="3">
        <v>45959</v>
      </c>
      <c r="CI127">
        <v>1</v>
      </c>
      <c r="CJ127">
        <v>1</v>
      </c>
      <c r="CK127">
        <v>21</v>
      </c>
      <c r="CL127" t="s">
        <v>89</v>
      </c>
    </row>
    <row r="128" spans="1:91" x14ac:dyDescent="0.3">
      <c r="A128" t="s">
        <v>72</v>
      </c>
      <c r="B128" t="s">
        <v>73</v>
      </c>
      <c r="C128" t="s">
        <v>74</v>
      </c>
      <c r="E128" t="str">
        <f>"009944505858"</f>
        <v>009944505858</v>
      </c>
      <c r="F128" s="3">
        <v>45958</v>
      </c>
      <c r="G128">
        <v>202607</v>
      </c>
      <c r="H128" t="s">
        <v>79</v>
      </c>
      <c r="I128" t="s">
        <v>80</v>
      </c>
      <c r="J128" t="s">
        <v>90</v>
      </c>
      <c r="K128" t="s">
        <v>78</v>
      </c>
      <c r="L128" t="s">
        <v>126</v>
      </c>
      <c r="M128" t="s">
        <v>127</v>
      </c>
      <c r="N128" t="s">
        <v>293</v>
      </c>
      <c r="O128" t="s">
        <v>82</v>
      </c>
      <c r="P128" t="str">
        <f>"11012553DI 460040             "</f>
        <v xml:space="preserve">11012553DI 460040             </v>
      </c>
      <c r="Q128">
        <v>0</v>
      </c>
      <c r="R128">
        <v>0</v>
      </c>
      <c r="S128">
        <v>0</v>
      </c>
      <c r="T128">
        <v>0</v>
      </c>
      <c r="U128">
        <v>0</v>
      </c>
      <c r="V128">
        <v>0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  <c r="AM128">
        <v>190.46</v>
      </c>
      <c r="AN128">
        <v>0</v>
      </c>
      <c r="AO128">
        <v>0</v>
      </c>
      <c r="AP128">
        <v>0</v>
      </c>
      <c r="AQ128">
        <v>22.36</v>
      </c>
      <c r="AR128">
        <v>0</v>
      </c>
      <c r="AS128">
        <v>0</v>
      </c>
      <c r="AT128">
        <v>0</v>
      </c>
      <c r="AU128">
        <v>0</v>
      </c>
      <c r="AV128">
        <v>0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0</v>
      </c>
      <c r="BF128">
        <v>0</v>
      </c>
      <c r="BG128">
        <v>0</v>
      </c>
      <c r="BH128">
        <v>1</v>
      </c>
      <c r="BI128">
        <v>1</v>
      </c>
      <c r="BJ128">
        <v>0.2</v>
      </c>
      <c r="BK128">
        <v>1</v>
      </c>
      <c r="BL128">
        <v>261.42</v>
      </c>
      <c r="BM128">
        <v>39.21</v>
      </c>
      <c r="BN128">
        <v>300.63</v>
      </c>
      <c r="BO128">
        <v>300.63</v>
      </c>
      <c r="BQ128" t="s">
        <v>547</v>
      </c>
      <c r="BR128" t="s">
        <v>546</v>
      </c>
      <c r="BS128" s="3">
        <v>45959</v>
      </c>
      <c r="BT128" s="4">
        <v>0.34236111111111112</v>
      </c>
      <c r="BU128" t="s">
        <v>548</v>
      </c>
      <c r="BV128" t="s">
        <v>86</v>
      </c>
      <c r="BY128">
        <v>1200</v>
      </c>
      <c r="BZ128" t="s">
        <v>257</v>
      </c>
      <c r="CA128" t="s">
        <v>549</v>
      </c>
      <c r="CC128" t="s">
        <v>127</v>
      </c>
      <c r="CD128">
        <v>6045</v>
      </c>
      <c r="CE128" t="s">
        <v>88</v>
      </c>
      <c r="CF128" s="3">
        <v>45959</v>
      </c>
      <c r="CI128">
        <v>1</v>
      </c>
      <c r="CJ128">
        <v>1</v>
      </c>
      <c r="CK128">
        <v>21</v>
      </c>
      <c r="CL128" t="s">
        <v>86</v>
      </c>
      <c r="CM128" s="4">
        <v>0.34236111111111112</v>
      </c>
    </row>
    <row r="129" spans="1:91" x14ac:dyDescent="0.3">
      <c r="A129" t="s">
        <v>72</v>
      </c>
      <c r="B129" t="s">
        <v>73</v>
      </c>
      <c r="C129" t="s">
        <v>74</v>
      </c>
      <c r="E129" t="str">
        <f>"009944505578"</f>
        <v>009944505578</v>
      </c>
      <c r="F129" s="3">
        <v>45958</v>
      </c>
      <c r="G129">
        <v>202607</v>
      </c>
      <c r="H129" t="s">
        <v>79</v>
      </c>
      <c r="I129" t="s">
        <v>80</v>
      </c>
      <c r="J129" t="s">
        <v>90</v>
      </c>
      <c r="K129" t="s">
        <v>78</v>
      </c>
      <c r="L129" t="s">
        <v>96</v>
      </c>
      <c r="M129" t="s">
        <v>97</v>
      </c>
      <c r="N129" t="s">
        <v>214</v>
      </c>
      <c r="O129" t="s">
        <v>101</v>
      </c>
      <c r="P129" t="str">
        <f>"11005000BT 402190             "</f>
        <v xml:space="preserve">11005000BT 402190             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5.87</v>
      </c>
      <c r="AH129">
        <v>0</v>
      </c>
      <c r="AI129">
        <v>0</v>
      </c>
      <c r="AJ129">
        <v>0</v>
      </c>
      <c r="AK129">
        <v>0</v>
      </c>
      <c r="AL129">
        <v>0</v>
      </c>
      <c r="AM129">
        <v>0</v>
      </c>
      <c r="AN129">
        <v>0</v>
      </c>
      <c r="AO129">
        <v>0</v>
      </c>
      <c r="AP129">
        <v>0</v>
      </c>
      <c r="AQ129">
        <v>59.29</v>
      </c>
      <c r="AR129">
        <v>0</v>
      </c>
      <c r="AS129">
        <v>0</v>
      </c>
      <c r="AT129">
        <v>0</v>
      </c>
      <c r="AU129">
        <v>0</v>
      </c>
      <c r="AV129">
        <v>0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  <c r="BC129">
        <v>0</v>
      </c>
      <c r="BD129">
        <v>0</v>
      </c>
      <c r="BE129">
        <v>0</v>
      </c>
      <c r="BF129">
        <v>0</v>
      </c>
      <c r="BG129">
        <v>0</v>
      </c>
      <c r="BH129">
        <v>2</v>
      </c>
      <c r="BI129">
        <v>14.1</v>
      </c>
      <c r="BJ129">
        <v>23.8</v>
      </c>
      <c r="BK129">
        <v>24</v>
      </c>
      <c r="BL129">
        <v>194.06</v>
      </c>
      <c r="BM129">
        <v>29.11</v>
      </c>
      <c r="BN129">
        <v>223.17</v>
      </c>
      <c r="BO129">
        <v>223.17</v>
      </c>
      <c r="BQ129" t="s">
        <v>365</v>
      </c>
      <c r="BR129" t="s">
        <v>550</v>
      </c>
      <c r="BS129" t="s">
        <v>540</v>
      </c>
      <c r="BY129">
        <v>118995.5</v>
      </c>
      <c r="BZ129" t="s">
        <v>105</v>
      </c>
      <c r="CC129" t="s">
        <v>97</v>
      </c>
      <c r="CD129">
        <v>8001</v>
      </c>
      <c r="CE129" t="s">
        <v>88</v>
      </c>
      <c r="CI129">
        <v>3</v>
      </c>
      <c r="CJ129" t="s">
        <v>540</v>
      </c>
      <c r="CK129">
        <v>41</v>
      </c>
      <c r="CL129" t="s">
        <v>89</v>
      </c>
    </row>
    <row r="130" spans="1:91" x14ac:dyDescent="0.3">
      <c r="A130" t="s">
        <v>72</v>
      </c>
      <c r="B130" t="s">
        <v>73</v>
      </c>
      <c r="C130" t="s">
        <v>74</v>
      </c>
      <c r="E130" t="str">
        <f>"009943054758"</f>
        <v>009943054758</v>
      </c>
      <c r="F130" s="3">
        <v>45958</v>
      </c>
      <c r="G130">
        <v>202607</v>
      </c>
      <c r="H130" t="s">
        <v>79</v>
      </c>
      <c r="I130" t="s">
        <v>80</v>
      </c>
      <c r="J130" t="s">
        <v>90</v>
      </c>
      <c r="K130" t="s">
        <v>78</v>
      </c>
      <c r="L130" t="s">
        <v>75</v>
      </c>
      <c r="M130" t="s">
        <v>76</v>
      </c>
      <c r="N130" t="s">
        <v>91</v>
      </c>
      <c r="O130" t="s">
        <v>82</v>
      </c>
      <c r="P130" t="str">
        <f>"11116561PC 402190             "</f>
        <v xml:space="preserve">11116561PC 402190             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39.11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  <c r="BC130">
        <v>0</v>
      </c>
      <c r="BD130">
        <v>0</v>
      </c>
      <c r="BE130">
        <v>0</v>
      </c>
      <c r="BF130">
        <v>0</v>
      </c>
      <c r="BG130">
        <v>0</v>
      </c>
      <c r="BH130">
        <v>1</v>
      </c>
      <c r="BI130">
        <v>1</v>
      </c>
      <c r="BJ130">
        <v>3.4</v>
      </c>
      <c r="BK130">
        <v>3.5</v>
      </c>
      <c r="BL130">
        <v>124.13</v>
      </c>
      <c r="BM130">
        <v>18.62</v>
      </c>
      <c r="BN130">
        <v>142.75</v>
      </c>
      <c r="BO130">
        <v>142.75</v>
      </c>
      <c r="BQ130" t="s">
        <v>92</v>
      </c>
      <c r="BR130" t="s">
        <v>93</v>
      </c>
      <c r="BS130" s="3">
        <v>45959</v>
      </c>
      <c r="BT130" s="4">
        <v>0.42222222222222222</v>
      </c>
      <c r="BU130" t="s">
        <v>94</v>
      </c>
      <c r="BV130" t="s">
        <v>86</v>
      </c>
      <c r="BY130">
        <v>16800</v>
      </c>
      <c r="BZ130" t="s">
        <v>87</v>
      </c>
      <c r="CA130" t="s">
        <v>95</v>
      </c>
      <c r="CC130" t="s">
        <v>76</v>
      </c>
      <c r="CD130">
        <v>4000</v>
      </c>
      <c r="CE130" t="s">
        <v>88</v>
      </c>
      <c r="CF130" s="3">
        <v>45960</v>
      </c>
      <c r="CI130">
        <v>1</v>
      </c>
      <c r="CJ130">
        <v>1</v>
      </c>
      <c r="CK130">
        <v>21</v>
      </c>
      <c r="CL130" t="s">
        <v>89</v>
      </c>
    </row>
    <row r="131" spans="1:91" x14ac:dyDescent="0.3">
      <c r="A131" t="s">
        <v>72</v>
      </c>
      <c r="B131" t="s">
        <v>73</v>
      </c>
      <c r="C131" t="s">
        <v>74</v>
      </c>
      <c r="E131" t="str">
        <f>"009943425157"</f>
        <v>009943425157</v>
      </c>
      <c r="F131" s="3">
        <v>45958</v>
      </c>
      <c r="G131">
        <v>202607</v>
      </c>
      <c r="H131" t="s">
        <v>79</v>
      </c>
      <c r="I131" t="s">
        <v>80</v>
      </c>
      <c r="J131" t="s">
        <v>90</v>
      </c>
      <c r="K131" t="s">
        <v>78</v>
      </c>
      <c r="L131" t="s">
        <v>75</v>
      </c>
      <c r="M131" t="s">
        <v>76</v>
      </c>
      <c r="N131" t="s">
        <v>551</v>
      </c>
      <c r="O131" t="s">
        <v>82</v>
      </c>
      <c r="P131" t="str">
        <f>"11012553DI 460040             "</f>
        <v xml:space="preserve">11012553DI 460040             </v>
      </c>
      <c r="Q131">
        <v>0</v>
      </c>
      <c r="R131">
        <v>0</v>
      </c>
      <c r="S131">
        <v>0</v>
      </c>
      <c r="T131">
        <v>0</v>
      </c>
      <c r="U131">
        <v>0</v>
      </c>
      <c r="V131">
        <v>0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190.46</v>
      </c>
      <c r="AN131">
        <v>0</v>
      </c>
      <c r="AO131">
        <v>0</v>
      </c>
      <c r="AP131">
        <v>0</v>
      </c>
      <c r="AQ131">
        <v>39.11</v>
      </c>
      <c r="AR131">
        <v>0</v>
      </c>
      <c r="AS131">
        <v>0</v>
      </c>
      <c r="AT131">
        <v>0</v>
      </c>
      <c r="AU131">
        <v>0</v>
      </c>
      <c r="AV131">
        <v>0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  <c r="BC131">
        <v>0</v>
      </c>
      <c r="BD131">
        <v>0</v>
      </c>
      <c r="BE131">
        <v>0</v>
      </c>
      <c r="BF131">
        <v>0</v>
      </c>
      <c r="BG131">
        <v>0</v>
      </c>
      <c r="BH131">
        <v>1</v>
      </c>
      <c r="BI131">
        <v>1</v>
      </c>
      <c r="BJ131">
        <v>3.4</v>
      </c>
      <c r="BK131">
        <v>3.5</v>
      </c>
      <c r="BL131">
        <v>314.58999999999997</v>
      </c>
      <c r="BM131">
        <v>47.19</v>
      </c>
      <c r="BN131">
        <v>361.78</v>
      </c>
      <c r="BO131">
        <v>361.78</v>
      </c>
      <c r="BQ131" t="s">
        <v>552</v>
      </c>
      <c r="BR131" t="s">
        <v>553</v>
      </c>
      <c r="BS131" s="3">
        <v>45959</v>
      </c>
      <c r="BT131" s="4">
        <v>0.39791666666666664</v>
      </c>
      <c r="BU131" t="s">
        <v>554</v>
      </c>
      <c r="BV131" t="s">
        <v>89</v>
      </c>
      <c r="BY131">
        <v>16800</v>
      </c>
      <c r="BZ131" t="s">
        <v>257</v>
      </c>
      <c r="CA131" t="s">
        <v>497</v>
      </c>
      <c r="CC131" t="s">
        <v>76</v>
      </c>
      <c r="CD131">
        <v>4051</v>
      </c>
      <c r="CE131" t="s">
        <v>88</v>
      </c>
      <c r="CF131" s="3">
        <v>45960</v>
      </c>
      <c r="CI131">
        <v>1</v>
      </c>
      <c r="CJ131">
        <v>1</v>
      </c>
      <c r="CK131">
        <v>21</v>
      </c>
      <c r="CL131" t="s">
        <v>86</v>
      </c>
      <c r="CM131" s="4">
        <v>0.39791666666666664</v>
      </c>
    </row>
    <row r="132" spans="1:91" x14ac:dyDescent="0.3">
      <c r="A132" t="s">
        <v>72</v>
      </c>
      <c r="B132" t="s">
        <v>73</v>
      </c>
      <c r="C132" t="s">
        <v>74</v>
      </c>
      <c r="E132" t="str">
        <f>"009943425365"</f>
        <v>009943425365</v>
      </c>
      <c r="F132" s="3">
        <v>45958</v>
      </c>
      <c r="G132">
        <v>202607</v>
      </c>
      <c r="H132" t="s">
        <v>79</v>
      </c>
      <c r="I132" t="s">
        <v>80</v>
      </c>
      <c r="J132" t="s">
        <v>90</v>
      </c>
      <c r="K132" t="s">
        <v>78</v>
      </c>
      <c r="L132" t="s">
        <v>75</v>
      </c>
      <c r="M132" t="s">
        <v>76</v>
      </c>
      <c r="N132" t="s">
        <v>258</v>
      </c>
      <c r="O132" t="s">
        <v>82</v>
      </c>
      <c r="P132" t="str">
        <f>"11116561PC 402190             "</f>
        <v xml:space="preserve">11116561PC 402190             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>
        <v>0</v>
      </c>
      <c r="X132">
        <v>0</v>
      </c>
      <c r="Y132">
        <v>0</v>
      </c>
      <c r="Z132">
        <v>0</v>
      </c>
      <c r="AA132">
        <v>0</v>
      </c>
      <c r="AB132">
        <v>0</v>
      </c>
      <c r="AC132">
        <v>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  <c r="AM132">
        <v>0</v>
      </c>
      <c r="AN132">
        <v>0</v>
      </c>
      <c r="AO132">
        <v>0</v>
      </c>
      <c r="AP132">
        <v>0</v>
      </c>
      <c r="AQ132">
        <v>39.11</v>
      </c>
      <c r="AR132">
        <v>0</v>
      </c>
      <c r="AS132">
        <v>0</v>
      </c>
      <c r="AT132">
        <v>0</v>
      </c>
      <c r="AU132">
        <v>0</v>
      </c>
      <c r="AV132">
        <v>0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  <c r="BC132">
        <v>0</v>
      </c>
      <c r="BD132">
        <v>0</v>
      </c>
      <c r="BE132">
        <v>0</v>
      </c>
      <c r="BF132">
        <v>0</v>
      </c>
      <c r="BG132">
        <v>0</v>
      </c>
      <c r="BH132">
        <v>1</v>
      </c>
      <c r="BI132">
        <v>1</v>
      </c>
      <c r="BJ132">
        <v>3.4</v>
      </c>
      <c r="BK132">
        <v>3.5</v>
      </c>
      <c r="BL132">
        <v>124.13</v>
      </c>
      <c r="BM132">
        <v>18.62</v>
      </c>
      <c r="BN132">
        <v>142.75</v>
      </c>
      <c r="BO132">
        <v>142.75</v>
      </c>
      <c r="BQ132" t="s">
        <v>555</v>
      </c>
      <c r="BR132" t="s">
        <v>93</v>
      </c>
      <c r="BS132" s="3">
        <v>45959</v>
      </c>
      <c r="BT132" s="4">
        <v>0.3659722222222222</v>
      </c>
      <c r="BU132" t="s">
        <v>236</v>
      </c>
      <c r="BV132" t="s">
        <v>86</v>
      </c>
      <c r="BY132">
        <v>16800</v>
      </c>
      <c r="BZ132" t="s">
        <v>87</v>
      </c>
      <c r="CA132" t="s">
        <v>238</v>
      </c>
      <c r="CC132" t="s">
        <v>76</v>
      </c>
      <c r="CD132">
        <v>4052</v>
      </c>
      <c r="CE132" t="s">
        <v>88</v>
      </c>
      <c r="CF132" s="3">
        <v>45960</v>
      </c>
      <c r="CI132">
        <v>1</v>
      </c>
      <c r="CJ132">
        <v>1</v>
      </c>
      <c r="CK132">
        <v>21</v>
      </c>
      <c r="CL132" t="s">
        <v>89</v>
      </c>
    </row>
    <row r="133" spans="1:91" x14ac:dyDescent="0.3">
      <c r="A133" t="s">
        <v>72</v>
      </c>
      <c r="B133" t="s">
        <v>73</v>
      </c>
      <c r="C133" t="s">
        <v>74</v>
      </c>
      <c r="E133" t="str">
        <f>"009945162283"</f>
        <v>009945162283</v>
      </c>
      <c r="F133" s="3">
        <v>45958</v>
      </c>
      <c r="G133">
        <v>202607</v>
      </c>
      <c r="H133" t="s">
        <v>79</v>
      </c>
      <c r="I133" t="s">
        <v>80</v>
      </c>
      <c r="J133" t="s">
        <v>90</v>
      </c>
      <c r="K133" t="s">
        <v>78</v>
      </c>
      <c r="L133" t="s">
        <v>96</v>
      </c>
      <c r="M133" t="s">
        <v>97</v>
      </c>
      <c r="N133" t="s">
        <v>556</v>
      </c>
      <c r="O133" t="s">
        <v>82</v>
      </c>
      <c r="P133" t="str">
        <f>"1101553DI 4600400             "</f>
        <v xml:space="preserve">1101553DI 4600400             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>
        <v>0</v>
      </c>
      <c r="X133">
        <v>0</v>
      </c>
      <c r="Y133">
        <v>0</v>
      </c>
      <c r="Z133">
        <v>0</v>
      </c>
      <c r="AA133">
        <v>0</v>
      </c>
      <c r="AB133">
        <v>0</v>
      </c>
      <c r="AC133">
        <v>0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  <c r="AM133">
        <v>0</v>
      </c>
      <c r="AN133">
        <v>0</v>
      </c>
      <c r="AO133">
        <v>0</v>
      </c>
      <c r="AP133">
        <v>0</v>
      </c>
      <c r="AQ133">
        <v>22.36</v>
      </c>
      <c r="AR133">
        <v>0</v>
      </c>
      <c r="AS133">
        <v>0</v>
      </c>
      <c r="AT133">
        <v>0</v>
      </c>
      <c r="AU133">
        <v>0</v>
      </c>
      <c r="AV133">
        <v>0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0</v>
      </c>
      <c r="BG133">
        <v>0</v>
      </c>
      <c r="BH133">
        <v>1</v>
      </c>
      <c r="BI133">
        <v>0.9</v>
      </c>
      <c r="BJ133">
        <v>1.6</v>
      </c>
      <c r="BK133">
        <v>2</v>
      </c>
      <c r="BL133">
        <v>70.959999999999994</v>
      </c>
      <c r="BM133">
        <v>10.64</v>
      </c>
      <c r="BN133">
        <v>81.599999999999994</v>
      </c>
      <c r="BO133">
        <v>81.599999999999994</v>
      </c>
      <c r="BP133" t="s">
        <v>557</v>
      </c>
      <c r="BQ133" t="s">
        <v>558</v>
      </c>
      <c r="BR133" t="s">
        <v>559</v>
      </c>
      <c r="BS133" s="3">
        <v>45960</v>
      </c>
      <c r="BT133" s="4">
        <v>0.34375</v>
      </c>
      <c r="BU133" t="s">
        <v>560</v>
      </c>
      <c r="BV133" t="s">
        <v>89</v>
      </c>
      <c r="BY133">
        <v>7825.62</v>
      </c>
      <c r="BZ133" t="s">
        <v>245</v>
      </c>
      <c r="CC133" t="s">
        <v>97</v>
      </c>
      <c r="CD133">
        <v>8000</v>
      </c>
      <c r="CE133" t="s">
        <v>88</v>
      </c>
      <c r="CI133">
        <v>1</v>
      </c>
      <c r="CJ133">
        <v>2</v>
      </c>
      <c r="CK133">
        <v>21</v>
      </c>
      <c r="CL133" t="s">
        <v>89</v>
      </c>
    </row>
    <row r="134" spans="1:91" x14ac:dyDescent="0.3">
      <c r="A134" t="s">
        <v>72</v>
      </c>
      <c r="B134" t="s">
        <v>73</v>
      </c>
      <c r="C134" t="s">
        <v>74</v>
      </c>
      <c r="E134" t="str">
        <f>"009943428955"</f>
        <v>009943428955</v>
      </c>
      <c r="F134" s="3">
        <v>45958</v>
      </c>
      <c r="G134">
        <v>202607</v>
      </c>
      <c r="H134" t="s">
        <v>79</v>
      </c>
      <c r="I134" t="s">
        <v>80</v>
      </c>
      <c r="J134" t="s">
        <v>90</v>
      </c>
      <c r="K134" t="s">
        <v>78</v>
      </c>
      <c r="L134" t="s">
        <v>302</v>
      </c>
      <c r="M134" t="s">
        <v>303</v>
      </c>
      <c r="N134" t="s">
        <v>561</v>
      </c>
      <c r="O134" t="s">
        <v>82</v>
      </c>
      <c r="P134" t="str">
        <f>"11012553DI 460040             "</f>
        <v xml:space="preserve">11012553DI 460040             </v>
      </c>
      <c r="Q134">
        <v>0</v>
      </c>
      <c r="R134">
        <v>0</v>
      </c>
      <c r="S134">
        <v>0</v>
      </c>
      <c r="T134">
        <v>0</v>
      </c>
      <c r="U134">
        <v>0</v>
      </c>
      <c r="V134">
        <v>0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  <c r="AM134">
        <v>0</v>
      </c>
      <c r="AN134">
        <v>0</v>
      </c>
      <c r="AO134">
        <v>0</v>
      </c>
      <c r="AP134">
        <v>0</v>
      </c>
      <c r="AQ134">
        <v>22.36</v>
      </c>
      <c r="AR134">
        <v>0</v>
      </c>
      <c r="AS134">
        <v>0</v>
      </c>
      <c r="AT134">
        <v>0</v>
      </c>
      <c r="AU134">
        <v>0</v>
      </c>
      <c r="AV134">
        <v>0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  <c r="BC134">
        <v>0</v>
      </c>
      <c r="BD134">
        <v>0</v>
      </c>
      <c r="BE134">
        <v>0</v>
      </c>
      <c r="BF134">
        <v>0</v>
      </c>
      <c r="BG134">
        <v>0</v>
      </c>
      <c r="BH134">
        <v>1</v>
      </c>
      <c r="BI134">
        <v>1</v>
      </c>
      <c r="BJ134">
        <v>0.2</v>
      </c>
      <c r="BK134">
        <v>1</v>
      </c>
      <c r="BL134">
        <v>70.959999999999994</v>
      </c>
      <c r="BM134">
        <v>10.64</v>
      </c>
      <c r="BN134">
        <v>81.599999999999994</v>
      </c>
      <c r="BO134">
        <v>81.599999999999994</v>
      </c>
      <c r="BQ134" t="s">
        <v>305</v>
      </c>
      <c r="BR134" t="s">
        <v>546</v>
      </c>
      <c r="BS134" s="3">
        <v>45959</v>
      </c>
      <c r="BT134" s="4">
        <v>0.43611111111111112</v>
      </c>
      <c r="BU134" t="s">
        <v>529</v>
      </c>
      <c r="BV134" t="s">
        <v>86</v>
      </c>
      <c r="BY134">
        <v>1200</v>
      </c>
      <c r="BZ134" t="s">
        <v>245</v>
      </c>
      <c r="CA134" t="s">
        <v>307</v>
      </c>
      <c r="CC134" t="s">
        <v>303</v>
      </c>
      <c r="CD134">
        <v>9301</v>
      </c>
      <c r="CE134" t="s">
        <v>88</v>
      </c>
      <c r="CI134">
        <v>1</v>
      </c>
      <c r="CJ134">
        <v>1</v>
      </c>
      <c r="CK134">
        <v>21</v>
      </c>
      <c r="CL134" t="s">
        <v>89</v>
      </c>
    </row>
    <row r="135" spans="1:91" x14ac:dyDescent="0.3">
      <c r="A135" t="s">
        <v>72</v>
      </c>
      <c r="B135" t="s">
        <v>73</v>
      </c>
      <c r="C135" t="s">
        <v>74</v>
      </c>
      <c r="E135" t="str">
        <f>"R009942838027"</f>
        <v>R009942838027</v>
      </c>
      <c r="F135" s="3">
        <v>45959</v>
      </c>
      <c r="G135">
        <v>202607</v>
      </c>
      <c r="H135" t="s">
        <v>96</v>
      </c>
      <c r="I135" t="s">
        <v>97</v>
      </c>
      <c r="J135" t="s">
        <v>562</v>
      </c>
      <c r="K135" t="s">
        <v>78</v>
      </c>
      <c r="L135" t="s">
        <v>79</v>
      </c>
      <c r="M135" t="s">
        <v>80</v>
      </c>
      <c r="N135" t="s">
        <v>90</v>
      </c>
      <c r="O135" t="s">
        <v>101</v>
      </c>
      <c r="P135" t="str">
        <f>"183524321 460040              "</f>
        <v xml:space="preserve">183524321 460040              </v>
      </c>
      <c r="Q135">
        <v>0</v>
      </c>
      <c r="R135">
        <v>0</v>
      </c>
      <c r="S135">
        <v>0</v>
      </c>
      <c r="T135">
        <v>0</v>
      </c>
      <c r="U135">
        <v>0</v>
      </c>
      <c r="V135">
        <v>0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0</v>
      </c>
      <c r="AE135">
        <v>0</v>
      </c>
      <c r="AF135">
        <v>0</v>
      </c>
      <c r="AG135">
        <v>5.87</v>
      </c>
      <c r="AH135">
        <v>0</v>
      </c>
      <c r="AI135">
        <v>0</v>
      </c>
      <c r="AJ135">
        <v>0</v>
      </c>
      <c r="AK135">
        <v>0</v>
      </c>
      <c r="AL135">
        <v>0</v>
      </c>
      <c r="AM135">
        <v>0</v>
      </c>
      <c r="AN135">
        <v>0</v>
      </c>
      <c r="AO135">
        <v>0</v>
      </c>
      <c r="AP135">
        <v>0</v>
      </c>
      <c r="AQ135">
        <v>43.23</v>
      </c>
      <c r="AR135">
        <v>0</v>
      </c>
      <c r="AS135">
        <v>0</v>
      </c>
      <c r="AT135">
        <v>0</v>
      </c>
      <c r="AU135">
        <v>0</v>
      </c>
      <c r="AV135">
        <v>0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  <c r="BC135">
        <v>0</v>
      </c>
      <c r="BD135">
        <v>0</v>
      </c>
      <c r="BE135">
        <v>0</v>
      </c>
      <c r="BF135">
        <v>0</v>
      </c>
      <c r="BG135">
        <v>0</v>
      </c>
      <c r="BH135">
        <v>1</v>
      </c>
      <c r="BI135">
        <v>1</v>
      </c>
      <c r="BJ135">
        <v>0.2</v>
      </c>
      <c r="BK135">
        <v>1</v>
      </c>
      <c r="BL135">
        <v>143.08000000000001</v>
      </c>
      <c r="BM135">
        <v>21.46</v>
      </c>
      <c r="BN135">
        <v>164.54</v>
      </c>
      <c r="BO135">
        <v>164.54</v>
      </c>
      <c r="BQ135" t="s">
        <v>404</v>
      </c>
      <c r="BR135" t="s">
        <v>563</v>
      </c>
      <c r="BS135" t="s">
        <v>540</v>
      </c>
      <c r="BY135">
        <v>1200</v>
      </c>
      <c r="CC135" t="s">
        <v>80</v>
      </c>
      <c r="CD135">
        <v>2021</v>
      </c>
      <c r="CE135" t="s">
        <v>88</v>
      </c>
      <c r="CI135">
        <v>3</v>
      </c>
      <c r="CJ135" t="s">
        <v>540</v>
      </c>
      <c r="CK135">
        <v>41</v>
      </c>
      <c r="CL135" t="s">
        <v>89</v>
      </c>
    </row>
    <row r="136" spans="1:91" x14ac:dyDescent="0.3">
      <c r="A136" t="s">
        <v>72</v>
      </c>
      <c r="B136" t="s">
        <v>73</v>
      </c>
      <c r="C136" t="s">
        <v>74</v>
      </c>
      <c r="E136" t="str">
        <f>"009942838027"</f>
        <v>009942838027</v>
      </c>
      <c r="F136" s="3">
        <v>45953</v>
      </c>
      <c r="G136">
        <v>202607</v>
      </c>
      <c r="H136" t="s">
        <v>79</v>
      </c>
      <c r="I136" t="s">
        <v>80</v>
      </c>
      <c r="J136" t="s">
        <v>90</v>
      </c>
      <c r="K136" t="s">
        <v>78</v>
      </c>
      <c r="L136" t="s">
        <v>96</v>
      </c>
      <c r="M136" t="s">
        <v>97</v>
      </c>
      <c r="N136" t="s">
        <v>562</v>
      </c>
      <c r="O136" t="s">
        <v>82</v>
      </c>
      <c r="P136" t="str">
        <f>"183524321 460040              "</f>
        <v xml:space="preserve">183524321 460040              </v>
      </c>
      <c r="Q136">
        <v>0</v>
      </c>
      <c r="R136">
        <v>0</v>
      </c>
      <c r="S136">
        <v>0</v>
      </c>
      <c r="T136">
        <v>0</v>
      </c>
      <c r="U136">
        <v>0</v>
      </c>
      <c r="V136">
        <v>0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  <c r="AM136">
        <v>0</v>
      </c>
      <c r="AN136">
        <v>0</v>
      </c>
      <c r="AO136">
        <v>0</v>
      </c>
      <c r="AP136">
        <v>0</v>
      </c>
      <c r="AQ136">
        <v>22.36</v>
      </c>
      <c r="AR136">
        <v>0</v>
      </c>
      <c r="AS136">
        <v>0</v>
      </c>
      <c r="AT136">
        <v>0</v>
      </c>
      <c r="AU136">
        <v>0</v>
      </c>
      <c r="AV136">
        <v>0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  <c r="BC136">
        <v>0</v>
      </c>
      <c r="BD136">
        <v>0</v>
      </c>
      <c r="BE136">
        <v>0</v>
      </c>
      <c r="BF136">
        <v>0</v>
      </c>
      <c r="BG136">
        <v>0</v>
      </c>
      <c r="BH136">
        <v>1</v>
      </c>
      <c r="BI136">
        <v>0.3</v>
      </c>
      <c r="BJ136">
        <v>0.2</v>
      </c>
      <c r="BK136">
        <v>0.5</v>
      </c>
      <c r="BL136">
        <v>70.959999999999994</v>
      </c>
      <c r="BM136">
        <v>10.64</v>
      </c>
      <c r="BN136">
        <v>81.599999999999994</v>
      </c>
      <c r="BO136">
        <v>81.599999999999994</v>
      </c>
      <c r="BQ136" t="s">
        <v>563</v>
      </c>
      <c r="BR136" t="s">
        <v>404</v>
      </c>
      <c r="BS136" s="3">
        <v>45959</v>
      </c>
      <c r="BT136" s="4">
        <v>0.49166666666666664</v>
      </c>
      <c r="BU136" t="s">
        <v>472</v>
      </c>
      <c r="BV136" t="s">
        <v>89</v>
      </c>
      <c r="BY136">
        <v>1185.5999999999999</v>
      </c>
      <c r="BZ136" t="s">
        <v>87</v>
      </c>
      <c r="CA136" t="s">
        <v>473</v>
      </c>
      <c r="CC136" t="s">
        <v>97</v>
      </c>
      <c r="CD136">
        <v>8000</v>
      </c>
      <c r="CE136" t="s">
        <v>88</v>
      </c>
      <c r="CI136">
        <v>1</v>
      </c>
      <c r="CJ136">
        <v>4</v>
      </c>
      <c r="CK136">
        <v>21</v>
      </c>
      <c r="CL136" t="s">
        <v>89</v>
      </c>
    </row>
    <row r="137" spans="1:91" x14ac:dyDescent="0.3">
      <c r="A137" t="s">
        <v>72</v>
      </c>
      <c r="B137" t="s">
        <v>73</v>
      </c>
      <c r="C137" t="s">
        <v>74</v>
      </c>
      <c r="E137" t="str">
        <f>"080011661280"</f>
        <v>080011661280</v>
      </c>
      <c r="F137" s="3">
        <v>45959</v>
      </c>
      <c r="G137">
        <v>202607</v>
      </c>
      <c r="H137" t="s">
        <v>96</v>
      </c>
      <c r="I137" t="s">
        <v>97</v>
      </c>
      <c r="J137" t="s">
        <v>380</v>
      </c>
      <c r="K137" t="s">
        <v>78</v>
      </c>
      <c r="L137" t="s">
        <v>126</v>
      </c>
      <c r="M137" t="s">
        <v>127</v>
      </c>
      <c r="N137" t="s">
        <v>564</v>
      </c>
      <c r="O137" t="s">
        <v>101</v>
      </c>
      <c r="P137" t="str">
        <f>"402190 11005000BT             "</f>
        <v xml:space="preserve">402190 11005000BT             </v>
      </c>
      <c r="Q137">
        <v>0</v>
      </c>
      <c r="R137">
        <v>0</v>
      </c>
      <c r="S137">
        <v>0</v>
      </c>
      <c r="T137">
        <v>0</v>
      </c>
      <c r="U137">
        <v>0</v>
      </c>
      <c r="V137">
        <v>0</v>
      </c>
      <c r="W137">
        <v>0</v>
      </c>
      <c r="X137">
        <v>0</v>
      </c>
      <c r="Y137">
        <v>0</v>
      </c>
      <c r="Z137">
        <v>0</v>
      </c>
      <c r="AA137">
        <v>0</v>
      </c>
      <c r="AB137">
        <v>0</v>
      </c>
      <c r="AC137">
        <v>0</v>
      </c>
      <c r="AD137">
        <v>0</v>
      </c>
      <c r="AE137">
        <v>0</v>
      </c>
      <c r="AF137">
        <v>0</v>
      </c>
      <c r="AG137">
        <v>5.87</v>
      </c>
      <c r="AH137">
        <v>0</v>
      </c>
      <c r="AI137">
        <v>0</v>
      </c>
      <c r="AJ137">
        <v>0</v>
      </c>
      <c r="AK137">
        <v>0</v>
      </c>
      <c r="AL137">
        <v>0</v>
      </c>
      <c r="AM137">
        <v>0</v>
      </c>
      <c r="AN137">
        <v>0</v>
      </c>
      <c r="AO137">
        <v>0</v>
      </c>
      <c r="AP137">
        <v>0</v>
      </c>
      <c r="AQ137">
        <v>53.94</v>
      </c>
      <c r="AR137">
        <v>0</v>
      </c>
      <c r="AS137">
        <v>0</v>
      </c>
      <c r="AT137">
        <v>0</v>
      </c>
      <c r="AU137">
        <v>0</v>
      </c>
      <c r="AV137">
        <v>0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  <c r="BC137">
        <v>0</v>
      </c>
      <c r="BD137">
        <v>0</v>
      </c>
      <c r="BE137">
        <v>0</v>
      </c>
      <c r="BF137">
        <v>0</v>
      </c>
      <c r="BG137">
        <v>0</v>
      </c>
      <c r="BH137">
        <v>2</v>
      </c>
      <c r="BI137">
        <v>11.1</v>
      </c>
      <c r="BJ137">
        <v>20.399999999999999</v>
      </c>
      <c r="BK137">
        <v>21</v>
      </c>
      <c r="BL137">
        <v>177.07</v>
      </c>
      <c r="BM137">
        <v>26.56</v>
      </c>
      <c r="BN137">
        <v>203.63</v>
      </c>
      <c r="BO137">
        <v>203.63</v>
      </c>
      <c r="BP137" t="s">
        <v>565</v>
      </c>
      <c r="BQ137" t="s">
        <v>566</v>
      </c>
      <c r="BR137" t="s">
        <v>384</v>
      </c>
      <c r="BS137" t="s">
        <v>540</v>
      </c>
      <c r="BY137">
        <v>101789.48</v>
      </c>
      <c r="BZ137" t="s">
        <v>105</v>
      </c>
      <c r="CC137" t="s">
        <v>127</v>
      </c>
      <c r="CD137">
        <v>6390</v>
      </c>
      <c r="CE137" t="s">
        <v>88</v>
      </c>
      <c r="CI137">
        <v>3</v>
      </c>
      <c r="CJ137" t="s">
        <v>540</v>
      </c>
      <c r="CK137">
        <v>41</v>
      </c>
      <c r="CL137" t="s">
        <v>89</v>
      </c>
    </row>
    <row r="138" spans="1:91" x14ac:dyDescent="0.3">
      <c r="A138" t="s">
        <v>72</v>
      </c>
      <c r="B138" t="s">
        <v>73</v>
      </c>
      <c r="C138" t="s">
        <v>74</v>
      </c>
      <c r="E138" t="str">
        <f>"009944219391"</f>
        <v>009944219391</v>
      </c>
      <c r="F138" s="3">
        <v>45959</v>
      </c>
      <c r="G138">
        <v>202607</v>
      </c>
      <c r="H138" t="s">
        <v>79</v>
      </c>
      <c r="I138" t="s">
        <v>80</v>
      </c>
      <c r="J138" t="s">
        <v>90</v>
      </c>
      <c r="K138" t="s">
        <v>78</v>
      </c>
      <c r="L138" t="s">
        <v>75</v>
      </c>
      <c r="M138" t="s">
        <v>76</v>
      </c>
      <c r="N138" t="s">
        <v>230</v>
      </c>
      <c r="O138" t="s">
        <v>82</v>
      </c>
      <c r="P138" t="str">
        <f>"11116561PC 402190             "</f>
        <v xml:space="preserve">11116561PC 402190             </v>
      </c>
      <c r="Q138">
        <v>0</v>
      </c>
      <c r="R138">
        <v>0</v>
      </c>
      <c r="S138">
        <v>0</v>
      </c>
      <c r="T138">
        <v>0</v>
      </c>
      <c r="U138">
        <v>0</v>
      </c>
      <c r="V138">
        <v>0</v>
      </c>
      <c r="W138">
        <v>0</v>
      </c>
      <c r="X138">
        <v>0</v>
      </c>
      <c r="Y138">
        <v>0</v>
      </c>
      <c r="Z138">
        <v>0</v>
      </c>
      <c r="AA138">
        <v>0</v>
      </c>
      <c r="AB138">
        <v>0</v>
      </c>
      <c r="AC138">
        <v>0</v>
      </c>
      <c r="AD138">
        <v>0</v>
      </c>
      <c r="AE138">
        <v>0</v>
      </c>
      <c r="AF138">
        <v>0</v>
      </c>
      <c r="AG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M138">
        <v>0</v>
      </c>
      <c r="AN138">
        <v>0</v>
      </c>
      <c r="AO138">
        <v>0</v>
      </c>
      <c r="AP138">
        <v>0</v>
      </c>
      <c r="AQ138">
        <v>22.36</v>
      </c>
      <c r="AR138">
        <v>0</v>
      </c>
      <c r="AS138">
        <v>0</v>
      </c>
      <c r="AT138">
        <v>0</v>
      </c>
      <c r="AU138">
        <v>0</v>
      </c>
      <c r="AV138">
        <v>0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  <c r="BC138">
        <v>0</v>
      </c>
      <c r="BD138">
        <v>0</v>
      </c>
      <c r="BE138">
        <v>0</v>
      </c>
      <c r="BF138">
        <v>0</v>
      </c>
      <c r="BG138">
        <v>0</v>
      </c>
      <c r="BH138">
        <v>1</v>
      </c>
      <c r="BI138">
        <v>1</v>
      </c>
      <c r="BJ138">
        <v>0.2</v>
      </c>
      <c r="BK138">
        <v>1</v>
      </c>
      <c r="BL138">
        <v>70.959999999999994</v>
      </c>
      <c r="BM138">
        <v>10.64</v>
      </c>
      <c r="BN138">
        <v>81.599999999999994</v>
      </c>
      <c r="BO138">
        <v>81.599999999999994</v>
      </c>
      <c r="BQ138" t="s">
        <v>567</v>
      </c>
      <c r="BR138" t="s">
        <v>298</v>
      </c>
      <c r="BS138" s="3">
        <v>45960</v>
      </c>
      <c r="BT138" s="4">
        <v>0.39652777777777776</v>
      </c>
      <c r="BU138" t="s">
        <v>494</v>
      </c>
      <c r="BV138" t="s">
        <v>86</v>
      </c>
      <c r="BY138">
        <v>1200</v>
      </c>
      <c r="BZ138" t="s">
        <v>87</v>
      </c>
      <c r="CA138" t="s">
        <v>320</v>
      </c>
      <c r="CC138" t="s">
        <v>76</v>
      </c>
      <c r="CD138">
        <v>4001</v>
      </c>
      <c r="CE138" t="s">
        <v>88</v>
      </c>
      <c r="CI138">
        <v>1</v>
      </c>
      <c r="CJ138">
        <v>1</v>
      </c>
      <c r="CK138">
        <v>21</v>
      </c>
      <c r="CL138" t="s">
        <v>89</v>
      </c>
    </row>
    <row r="139" spans="1:91" x14ac:dyDescent="0.3">
      <c r="A139" t="s">
        <v>72</v>
      </c>
      <c r="B139" t="s">
        <v>73</v>
      </c>
      <c r="C139" t="s">
        <v>74</v>
      </c>
      <c r="E139" t="str">
        <f>"009943054873"</f>
        <v>009943054873</v>
      </c>
      <c r="F139" s="3">
        <v>45959</v>
      </c>
      <c r="G139">
        <v>202607</v>
      </c>
      <c r="H139" t="s">
        <v>79</v>
      </c>
      <c r="I139" t="s">
        <v>80</v>
      </c>
      <c r="J139" t="s">
        <v>90</v>
      </c>
      <c r="K139" t="s">
        <v>78</v>
      </c>
      <c r="L139" t="s">
        <v>260</v>
      </c>
      <c r="M139" t="s">
        <v>261</v>
      </c>
      <c r="N139" t="s">
        <v>262</v>
      </c>
      <c r="O139" t="s">
        <v>82</v>
      </c>
      <c r="P139" t="str">
        <f>"11116561PC 402190             "</f>
        <v xml:space="preserve">11116561PC 402190             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>
        <v>0</v>
      </c>
      <c r="X139">
        <v>0</v>
      </c>
      <c r="Y139">
        <v>0</v>
      </c>
      <c r="Z139">
        <v>0</v>
      </c>
      <c r="AA139">
        <v>0</v>
      </c>
      <c r="AB139">
        <v>0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M139">
        <v>0</v>
      </c>
      <c r="AN139">
        <v>0</v>
      </c>
      <c r="AO139">
        <v>0</v>
      </c>
      <c r="AP139">
        <v>0</v>
      </c>
      <c r="AQ139">
        <v>22.36</v>
      </c>
      <c r="AR139">
        <v>0</v>
      </c>
      <c r="AS139">
        <v>0</v>
      </c>
      <c r="AT139">
        <v>0</v>
      </c>
      <c r="AU139">
        <v>0</v>
      </c>
      <c r="AV139">
        <v>0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  <c r="BC139">
        <v>0</v>
      </c>
      <c r="BD139">
        <v>0</v>
      </c>
      <c r="BE139">
        <v>0</v>
      </c>
      <c r="BF139">
        <v>0</v>
      </c>
      <c r="BG139">
        <v>0</v>
      </c>
      <c r="BH139">
        <v>1</v>
      </c>
      <c r="BI139">
        <v>1</v>
      </c>
      <c r="BJ139">
        <v>0.2</v>
      </c>
      <c r="BK139">
        <v>1</v>
      </c>
      <c r="BL139">
        <v>70.959999999999994</v>
      </c>
      <c r="BM139">
        <v>10.64</v>
      </c>
      <c r="BN139">
        <v>81.599999999999994</v>
      </c>
      <c r="BO139">
        <v>81.599999999999994</v>
      </c>
      <c r="BQ139" t="s">
        <v>568</v>
      </c>
      <c r="BR139" t="s">
        <v>298</v>
      </c>
      <c r="BS139" s="3">
        <v>45960</v>
      </c>
      <c r="BT139" s="4">
        <v>0.36875000000000002</v>
      </c>
      <c r="BU139" t="s">
        <v>543</v>
      </c>
      <c r="BV139" t="s">
        <v>86</v>
      </c>
      <c r="BY139">
        <v>1200</v>
      </c>
      <c r="BZ139" t="s">
        <v>87</v>
      </c>
      <c r="CA139" t="s">
        <v>265</v>
      </c>
      <c r="CC139" t="s">
        <v>261</v>
      </c>
      <c r="CD139">
        <v>4302</v>
      </c>
      <c r="CE139" t="s">
        <v>88</v>
      </c>
      <c r="CI139">
        <v>1</v>
      </c>
      <c r="CJ139">
        <v>1</v>
      </c>
      <c r="CK139">
        <v>21</v>
      </c>
      <c r="CL139" t="s">
        <v>89</v>
      </c>
    </row>
    <row r="140" spans="1:91" x14ac:dyDescent="0.3">
      <c r="A140" t="s">
        <v>72</v>
      </c>
      <c r="B140" t="s">
        <v>73</v>
      </c>
      <c r="C140" t="s">
        <v>74</v>
      </c>
      <c r="E140" t="str">
        <f>"009943425158"</f>
        <v>009943425158</v>
      </c>
      <c r="F140" s="3">
        <v>45959</v>
      </c>
      <c r="G140">
        <v>202607</v>
      </c>
      <c r="H140" t="s">
        <v>79</v>
      </c>
      <c r="I140" t="s">
        <v>80</v>
      </c>
      <c r="J140" t="s">
        <v>90</v>
      </c>
      <c r="K140" t="s">
        <v>78</v>
      </c>
      <c r="L140" t="s">
        <v>75</v>
      </c>
      <c r="M140" t="s">
        <v>76</v>
      </c>
      <c r="N140" t="s">
        <v>513</v>
      </c>
      <c r="O140" t="s">
        <v>82</v>
      </c>
      <c r="P140" t="str">
        <f>"1100452FN 460040              "</f>
        <v xml:space="preserve">1100452FN 460040              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M140">
        <v>0</v>
      </c>
      <c r="AN140">
        <v>0</v>
      </c>
      <c r="AO140">
        <v>0</v>
      </c>
      <c r="AP140">
        <v>0</v>
      </c>
      <c r="AQ140">
        <v>22.36</v>
      </c>
      <c r="AR140">
        <v>0</v>
      </c>
      <c r="AS140">
        <v>0</v>
      </c>
      <c r="AT140">
        <v>0</v>
      </c>
      <c r="AU140">
        <v>0</v>
      </c>
      <c r="AV140">
        <v>0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  <c r="BC140">
        <v>0</v>
      </c>
      <c r="BD140">
        <v>0</v>
      </c>
      <c r="BE140">
        <v>0</v>
      </c>
      <c r="BF140">
        <v>0</v>
      </c>
      <c r="BG140">
        <v>0</v>
      </c>
      <c r="BH140">
        <v>1</v>
      </c>
      <c r="BI140">
        <v>1</v>
      </c>
      <c r="BJ140">
        <v>0.2</v>
      </c>
      <c r="BK140">
        <v>1</v>
      </c>
      <c r="BL140">
        <v>70.959999999999994</v>
      </c>
      <c r="BM140">
        <v>10.64</v>
      </c>
      <c r="BN140">
        <v>81.599999999999994</v>
      </c>
      <c r="BO140">
        <v>81.599999999999994</v>
      </c>
      <c r="BQ140" t="s">
        <v>569</v>
      </c>
      <c r="BR140" t="s">
        <v>404</v>
      </c>
      <c r="BS140" t="s">
        <v>540</v>
      </c>
      <c r="BY140">
        <v>1200</v>
      </c>
      <c r="BZ140" t="s">
        <v>87</v>
      </c>
      <c r="CC140" t="s">
        <v>76</v>
      </c>
      <c r="CD140">
        <v>4051</v>
      </c>
      <c r="CE140" t="s">
        <v>88</v>
      </c>
      <c r="CI140">
        <v>1</v>
      </c>
      <c r="CJ140" t="s">
        <v>540</v>
      </c>
      <c r="CK140">
        <v>21</v>
      </c>
      <c r="CL140" t="s">
        <v>89</v>
      </c>
    </row>
    <row r="141" spans="1:91" x14ac:dyDescent="0.3">
      <c r="A141" t="s">
        <v>72</v>
      </c>
      <c r="B141" t="s">
        <v>73</v>
      </c>
      <c r="C141" t="s">
        <v>74</v>
      </c>
      <c r="E141" t="str">
        <f>"009944505857"</f>
        <v>009944505857</v>
      </c>
      <c r="F141" s="3">
        <v>45959</v>
      </c>
      <c r="G141">
        <v>202607</v>
      </c>
      <c r="H141" t="s">
        <v>79</v>
      </c>
      <c r="I141" t="s">
        <v>80</v>
      </c>
      <c r="J141" t="s">
        <v>90</v>
      </c>
      <c r="K141" t="s">
        <v>78</v>
      </c>
      <c r="L141" t="s">
        <v>126</v>
      </c>
      <c r="M141" t="s">
        <v>127</v>
      </c>
      <c r="N141" t="s">
        <v>500</v>
      </c>
      <c r="O141" t="s">
        <v>82</v>
      </c>
      <c r="P141" t="str">
        <f>"11004520FN 460040             "</f>
        <v xml:space="preserve">11004520FN 460040             </v>
      </c>
      <c r="Q141">
        <v>0</v>
      </c>
      <c r="R141">
        <v>0</v>
      </c>
      <c r="S141">
        <v>0</v>
      </c>
      <c r="T141">
        <v>0</v>
      </c>
      <c r="U141">
        <v>0</v>
      </c>
      <c r="V141">
        <v>0</v>
      </c>
      <c r="W141">
        <v>0</v>
      </c>
      <c r="X141">
        <v>0</v>
      </c>
      <c r="Y141">
        <v>0</v>
      </c>
      <c r="Z141">
        <v>0</v>
      </c>
      <c r="AA141">
        <v>0</v>
      </c>
      <c r="AB141">
        <v>0</v>
      </c>
      <c r="AC141">
        <v>0</v>
      </c>
      <c r="AD141">
        <v>0</v>
      </c>
      <c r="AE141">
        <v>0</v>
      </c>
      <c r="AF141">
        <v>0</v>
      </c>
      <c r="AG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M141">
        <v>0</v>
      </c>
      <c r="AN141">
        <v>0</v>
      </c>
      <c r="AO141">
        <v>0</v>
      </c>
      <c r="AP141">
        <v>0</v>
      </c>
      <c r="AQ141">
        <v>22.36</v>
      </c>
      <c r="AR141">
        <v>0</v>
      </c>
      <c r="AS141">
        <v>0</v>
      </c>
      <c r="AT141">
        <v>0</v>
      </c>
      <c r="AU141">
        <v>0</v>
      </c>
      <c r="AV141">
        <v>0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  <c r="BC141">
        <v>0</v>
      </c>
      <c r="BD141">
        <v>0</v>
      </c>
      <c r="BE141">
        <v>0</v>
      </c>
      <c r="BF141">
        <v>0</v>
      </c>
      <c r="BG141">
        <v>0</v>
      </c>
      <c r="BH141">
        <v>1</v>
      </c>
      <c r="BI141">
        <v>1</v>
      </c>
      <c r="BJ141">
        <v>0.2</v>
      </c>
      <c r="BK141">
        <v>1</v>
      </c>
      <c r="BL141">
        <v>70.959999999999994</v>
      </c>
      <c r="BM141">
        <v>10.64</v>
      </c>
      <c r="BN141">
        <v>81.599999999999994</v>
      </c>
      <c r="BO141">
        <v>81.599999999999994</v>
      </c>
      <c r="BQ141" t="s">
        <v>570</v>
      </c>
      <c r="BR141" t="s">
        <v>404</v>
      </c>
      <c r="BS141" s="3">
        <v>45960</v>
      </c>
      <c r="BT141" s="4">
        <v>0.31736111111111109</v>
      </c>
      <c r="BU141" t="s">
        <v>571</v>
      </c>
      <c r="BV141" t="s">
        <v>86</v>
      </c>
      <c r="BY141">
        <v>1200</v>
      </c>
      <c r="BZ141" t="s">
        <v>87</v>
      </c>
      <c r="CA141" t="s">
        <v>134</v>
      </c>
      <c r="CC141" t="s">
        <v>127</v>
      </c>
      <c r="CD141">
        <v>6045</v>
      </c>
      <c r="CE141" t="s">
        <v>88</v>
      </c>
      <c r="CI141">
        <v>1</v>
      </c>
      <c r="CJ141">
        <v>1</v>
      </c>
      <c r="CK141">
        <v>21</v>
      </c>
      <c r="CL141" t="s">
        <v>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sdrascd7-IENOMKE147177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Sue Adams</dc:creator>
  <cp:lastModifiedBy>Sue Adams</cp:lastModifiedBy>
  <dcterms:created xsi:type="dcterms:W3CDTF">2025-10-30T12:14:04Z</dcterms:created>
  <dcterms:modified xsi:type="dcterms:W3CDTF">2025-10-30T12:14:22Z</dcterms:modified>
</cp:coreProperties>
</file>